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maina\Downloads\"/>
    </mc:Choice>
  </mc:AlternateContent>
  <xr:revisionPtr revIDLastSave="0" documentId="13_ncr:1_{76E20DED-0C35-4E18-B7FE-C3C613CDA21D}" xr6:coauthVersionLast="47" xr6:coauthVersionMax="47" xr10:uidLastSave="{00000000-0000-0000-0000-000000000000}"/>
  <bookViews>
    <workbookView xWindow="-110" yWindow="-110" windowWidth="19420" windowHeight="10420" firstSheet="15" activeTab="15" xr2:uid="{00000000-000D-0000-FFFF-FFFF00000000}"/>
  </bookViews>
  <sheets>
    <sheet name="Cash flow2013" sheetId="1" state="hidden" r:id="rId1"/>
    <sheet name="MEIL 2012 Budget (Orig)" sheetId="2" state="hidden" r:id="rId2"/>
    <sheet name="PR Company" sheetId="3" state="hidden" r:id="rId3"/>
    <sheet name="Consolidated Budget 2012" sheetId="4" state="hidden" r:id="rId4"/>
    <sheet name="PR " sheetId="5" state="hidden" r:id="rId5"/>
    <sheet name="Group (Classes)" sheetId="6" state="hidden" r:id="rId6"/>
    <sheet name="Sheet1" sheetId="7" state="hidden" r:id="rId7"/>
    <sheet name="Cash Flow Chase Bank" sheetId="8" state="hidden" r:id="rId8"/>
    <sheet name="CapEx Safaricom Preq" sheetId="9" state="hidden" r:id="rId9"/>
    <sheet name="Debtors and Creditors Movement" sheetId="10" state="hidden" r:id="rId10"/>
    <sheet name="CapEx Chase Bank" sheetId="11" state="hidden" r:id="rId11"/>
    <sheet name="Cash flow" sheetId="12" state="hidden" r:id="rId12"/>
    <sheet name="BE Analysis" sheetId="13" state="hidden" r:id="rId13"/>
    <sheet name="MEIL 2012 Budget -New initiativ" sheetId="14" state="hidden" r:id="rId14"/>
    <sheet name="OCK 2012 Budget" sheetId="15" state="hidden" r:id="rId15"/>
    <sheet name="TEMPLATE" sheetId="17" r:id="rId16"/>
  </sheets>
  <externalReferences>
    <externalReference r:id="rId17"/>
  </externalReferences>
  <definedNames>
    <definedName name="_xlnm.Print_Area" localSheetId="12">'BE Analysis'!$A$1:$F$13</definedName>
    <definedName name="_xlnm.Print_Area" localSheetId="10">'CapEx Chase Bank'!$A$1:$O$55</definedName>
    <definedName name="_xlnm.Print_Area" localSheetId="8">'CapEx Safaricom Preq'!$A$1:$O$55</definedName>
    <definedName name="_xlnm.Print_Area" localSheetId="11">'Cash flow'!$A$1:$N$34</definedName>
    <definedName name="_xlnm.Print_Area" localSheetId="7">'Cash Flow Chase Bank'!$A$3:$N$28</definedName>
    <definedName name="_xlnm.Print_Area" localSheetId="0">'Cash flow2013'!$A$1:$M$34</definedName>
    <definedName name="_xlnm.Print_Area" localSheetId="3">'Consolidated Budget 2012'!$A$1:$N$56</definedName>
    <definedName name="_xlnm.Print_Area" localSheetId="9">'Debtors and Creditors Movement'!$A$1:$V$50</definedName>
    <definedName name="_xlnm.Print_Area" localSheetId="1">'MEIL 2012 Budget (Orig)'!$A$78:$N$83</definedName>
    <definedName name="_xlnm.Print_Area" localSheetId="13">'MEIL 2012 Budget -New initiativ'!$A$1:$N$73</definedName>
    <definedName name="_xlnm.Print_Area" localSheetId="14">'OCK 2012 Budget'!$A$1:$N$57</definedName>
    <definedName name="_xlnm.Print_Area" localSheetId="4">'PR '!$A$1:$N$54</definedName>
    <definedName name="_xlnm.Print_Area" localSheetId="2">'PR Company'!$A$1:$N$54</definedName>
    <definedName name="_xlnm.Print_Titles" localSheetId="1">'MEIL 2012 Budget (Orig)'!$A:$A,'MEIL 2012 Budget (Orig)'!#REF!</definedName>
    <definedName name="_xlnm.Print_Titles" localSheetId="13">'MEIL 2012 Budget -New initiativ'!$A:$A,'MEIL 2012 Budget -New initiativ'!#REF!</definedName>
    <definedName name="_xlnm.Print_Titles" localSheetId="14">'OCK 2012 Budget'!$A:$B,'OCK 2012 Budget'!$1:$2</definedName>
    <definedName name="_xlnm.Print_Titles" localSheetId="4">'PR '!$A:$B,'PR '!$1:$2</definedName>
    <definedName name="_xlnm.Print_Titles" localSheetId="2">'PR Company'!$A:$B,'PR Company'!$1:$2</definedName>
  </definedNames>
  <calcPr calcId="181029"/>
</workbook>
</file>

<file path=xl/calcChain.xml><?xml version="1.0" encoding="utf-8"?>
<calcChain xmlns="http://schemas.openxmlformats.org/spreadsheetml/2006/main">
  <c r="F33" i="17" l="1"/>
  <c r="F34" i="17"/>
  <c r="F35" i="17"/>
  <c r="F11" i="17"/>
  <c r="F12" i="17"/>
  <c r="F13" i="17"/>
  <c r="F14" i="17"/>
  <c r="F15" i="17"/>
  <c r="F16" i="17"/>
  <c r="F17" i="17"/>
  <c r="F18" i="17"/>
  <c r="F19" i="17"/>
  <c r="F20" i="17"/>
  <c r="F21" i="17"/>
  <c r="F36" i="17"/>
  <c r="E41" i="17"/>
  <c r="D41" i="17"/>
  <c r="F39" i="17"/>
  <c r="F22" i="17"/>
  <c r="F32" i="17"/>
  <c r="F23" i="17"/>
  <c r="F6" i="17"/>
  <c r="E25" i="17"/>
  <c r="D25" i="17"/>
  <c r="F5" i="17"/>
  <c r="F7" i="17"/>
  <c r="F40" i="17"/>
  <c r="F38" i="17"/>
  <c r="F37" i="17"/>
  <c r="F31" i="17"/>
  <c r="F30" i="17"/>
  <c r="F29" i="17"/>
  <c r="F28" i="17"/>
  <c r="F10" i="17"/>
  <c r="F9" i="17"/>
  <c r="F8" i="17"/>
  <c r="C47" i="15"/>
  <c r="D47" i="15" s="1"/>
  <c r="E47" i="15" s="1"/>
  <c r="F47" i="15" s="1"/>
  <c r="G47" i="15" s="1"/>
  <c r="H47" i="15" s="1"/>
  <c r="I47" i="15" s="1"/>
  <c r="J47" i="15" s="1"/>
  <c r="K47" i="15" s="1"/>
  <c r="L47" i="15" s="1"/>
  <c r="M47" i="15" s="1"/>
  <c r="N46" i="15"/>
  <c r="C45" i="15"/>
  <c r="D45" i="15" s="1"/>
  <c r="E45" i="15" s="1"/>
  <c r="F45" i="15" s="1"/>
  <c r="G45" i="15" s="1"/>
  <c r="H45" i="15" s="1"/>
  <c r="I45" i="15" s="1"/>
  <c r="J45" i="15" s="1"/>
  <c r="K45" i="15" s="1"/>
  <c r="L45" i="15" s="1"/>
  <c r="M45" i="15" s="1"/>
  <c r="C44" i="15"/>
  <c r="D44" i="15" s="1"/>
  <c r="E44" i="15" s="1"/>
  <c r="F44" i="15" s="1"/>
  <c r="G44" i="15" s="1"/>
  <c r="H44" i="15" s="1"/>
  <c r="I44" i="15" s="1"/>
  <c r="J44" i="15" s="1"/>
  <c r="K44" i="15" s="1"/>
  <c r="L44" i="15" s="1"/>
  <c r="M44" i="15" s="1"/>
  <c r="D43" i="15"/>
  <c r="E43" i="15" s="1"/>
  <c r="F43" i="15" s="1"/>
  <c r="G43" i="15" s="1"/>
  <c r="H43" i="15" s="1"/>
  <c r="I43" i="15" s="1"/>
  <c r="J43" i="15" s="1"/>
  <c r="K43" i="15" s="1"/>
  <c r="L43" i="15" s="1"/>
  <c r="M43" i="15" s="1"/>
  <c r="C43" i="15"/>
  <c r="N42" i="15"/>
  <c r="C41" i="15"/>
  <c r="D41" i="15" s="1"/>
  <c r="E41" i="15" s="1"/>
  <c r="F41" i="15" s="1"/>
  <c r="G41" i="15" s="1"/>
  <c r="H41" i="15" s="1"/>
  <c r="I41" i="15" s="1"/>
  <c r="J41" i="15" s="1"/>
  <c r="K41" i="15" s="1"/>
  <c r="L41" i="15" s="1"/>
  <c r="M41" i="15" s="1"/>
  <c r="C40" i="15"/>
  <c r="B40" i="15"/>
  <c r="B48" i="15" s="1"/>
  <c r="D38" i="15"/>
  <c r="E38" i="15" s="1"/>
  <c r="F38" i="15" s="1"/>
  <c r="G38" i="15" s="1"/>
  <c r="H38" i="15" s="1"/>
  <c r="I38" i="15" s="1"/>
  <c r="J38" i="15" s="1"/>
  <c r="K38" i="15" s="1"/>
  <c r="L38" i="15" s="1"/>
  <c r="M38" i="15" s="1"/>
  <c r="C38" i="15"/>
  <c r="C37" i="15"/>
  <c r="D37" i="15" s="1"/>
  <c r="E37" i="15" s="1"/>
  <c r="F37" i="15" s="1"/>
  <c r="G37" i="15" s="1"/>
  <c r="H37" i="15" s="1"/>
  <c r="I37" i="15" s="1"/>
  <c r="J37" i="15" s="1"/>
  <c r="K37" i="15" s="1"/>
  <c r="L37" i="15" s="1"/>
  <c r="M37" i="15" s="1"/>
  <c r="D36" i="15"/>
  <c r="E36" i="15" s="1"/>
  <c r="C36" i="15"/>
  <c r="C35" i="15"/>
  <c r="D35" i="15" s="1"/>
  <c r="E35" i="15" s="1"/>
  <c r="F35" i="15" s="1"/>
  <c r="G35" i="15" s="1"/>
  <c r="H35" i="15" s="1"/>
  <c r="I35" i="15" s="1"/>
  <c r="J35" i="15" s="1"/>
  <c r="K35" i="15" s="1"/>
  <c r="L35" i="15" s="1"/>
  <c r="M35" i="15" s="1"/>
  <c r="N34" i="15"/>
  <c r="N33" i="15"/>
  <c r="N32" i="15"/>
  <c r="C31" i="15"/>
  <c r="C30" i="15"/>
  <c r="D30" i="15" s="1"/>
  <c r="E30" i="15" s="1"/>
  <c r="F30" i="15" s="1"/>
  <c r="G30" i="15" s="1"/>
  <c r="H30" i="15" s="1"/>
  <c r="I30" i="15" s="1"/>
  <c r="J30" i="15" s="1"/>
  <c r="K30" i="15" s="1"/>
  <c r="L30" i="15" s="1"/>
  <c r="M30" i="15" s="1"/>
  <c r="N29" i="15"/>
  <c r="C28" i="15"/>
  <c r="D28" i="15" s="1"/>
  <c r="E28" i="15" s="1"/>
  <c r="F28" i="15" s="1"/>
  <c r="G28" i="15" s="1"/>
  <c r="H28" i="15" s="1"/>
  <c r="I28" i="15" s="1"/>
  <c r="J28" i="15" s="1"/>
  <c r="K28" i="15" s="1"/>
  <c r="L28" i="15" s="1"/>
  <c r="M28" i="15" s="1"/>
  <c r="D27" i="15"/>
  <c r="E27" i="15" s="1"/>
  <c r="F27" i="15" s="1"/>
  <c r="G27" i="15" s="1"/>
  <c r="H27" i="15" s="1"/>
  <c r="I27" i="15" s="1"/>
  <c r="J27" i="15" s="1"/>
  <c r="K27" i="15" s="1"/>
  <c r="L27" i="15" s="1"/>
  <c r="M27" i="15" s="1"/>
  <c r="C27" i="15"/>
  <c r="N26" i="15"/>
  <c r="C25" i="15"/>
  <c r="D25" i="15" s="1"/>
  <c r="E25" i="15" s="1"/>
  <c r="F25" i="15" s="1"/>
  <c r="G25" i="15" s="1"/>
  <c r="H25" i="15" s="1"/>
  <c r="I25" i="15" s="1"/>
  <c r="J25" i="15" s="1"/>
  <c r="K25" i="15" s="1"/>
  <c r="L25" i="15" s="1"/>
  <c r="M25" i="15" s="1"/>
  <c r="E24" i="15"/>
  <c r="F24" i="15" s="1"/>
  <c r="G24" i="15" s="1"/>
  <c r="H24" i="15" s="1"/>
  <c r="I24" i="15" s="1"/>
  <c r="J24" i="15" s="1"/>
  <c r="K24" i="15" s="1"/>
  <c r="L24" i="15" s="1"/>
  <c r="M24" i="15" s="1"/>
  <c r="C24" i="15"/>
  <c r="D24" i="15" s="1"/>
  <c r="C23" i="15"/>
  <c r="D23" i="15" s="1"/>
  <c r="E23" i="15" s="1"/>
  <c r="F23" i="15" s="1"/>
  <c r="G23" i="15" s="1"/>
  <c r="H23" i="15" s="1"/>
  <c r="I23" i="15" s="1"/>
  <c r="J23" i="15" s="1"/>
  <c r="K23" i="15" s="1"/>
  <c r="L23" i="15" s="1"/>
  <c r="M23" i="15" s="1"/>
  <c r="C22" i="15"/>
  <c r="D22" i="15" s="1"/>
  <c r="E22" i="15" s="1"/>
  <c r="F22" i="15" s="1"/>
  <c r="G22" i="15" s="1"/>
  <c r="H22" i="15" s="1"/>
  <c r="I22" i="15" s="1"/>
  <c r="J22" i="15" s="1"/>
  <c r="K22" i="15" s="1"/>
  <c r="L22" i="15" s="1"/>
  <c r="M22" i="15" s="1"/>
  <c r="C21" i="15"/>
  <c r="D21" i="15" s="1"/>
  <c r="E21" i="15" s="1"/>
  <c r="F21" i="15" s="1"/>
  <c r="G21" i="15" s="1"/>
  <c r="H21" i="15" s="1"/>
  <c r="I21" i="15" s="1"/>
  <c r="J21" i="15" s="1"/>
  <c r="K21" i="15" s="1"/>
  <c r="L21" i="15" s="1"/>
  <c r="M21" i="15" s="1"/>
  <c r="C20" i="15"/>
  <c r="C14" i="15"/>
  <c r="D14" i="15" s="1"/>
  <c r="E14" i="15" s="1"/>
  <c r="F14" i="15" s="1"/>
  <c r="B14" i="15"/>
  <c r="M13" i="15"/>
  <c r="L13" i="15"/>
  <c r="K13" i="15"/>
  <c r="J13" i="15"/>
  <c r="I13" i="15"/>
  <c r="H13" i="15"/>
  <c r="G13" i="15"/>
  <c r="F13" i="15"/>
  <c r="E13" i="15"/>
  <c r="D13" i="15"/>
  <c r="C13" i="15"/>
  <c r="B13" i="15"/>
  <c r="M12" i="15"/>
  <c r="L12" i="15"/>
  <c r="K12" i="15"/>
  <c r="J12" i="15"/>
  <c r="I12" i="15"/>
  <c r="H12" i="15"/>
  <c r="G12" i="15"/>
  <c r="F12" i="15"/>
  <c r="E12" i="15"/>
  <c r="D12" i="15"/>
  <c r="C12" i="15"/>
  <c r="B12" i="15"/>
  <c r="M11" i="15"/>
  <c r="L11" i="15"/>
  <c r="K11" i="15"/>
  <c r="J11" i="15"/>
  <c r="I11" i="15"/>
  <c r="H11" i="15"/>
  <c r="G11" i="15"/>
  <c r="F11" i="15"/>
  <c r="E11" i="15"/>
  <c r="D11" i="15"/>
  <c r="C11" i="15"/>
  <c r="C15" i="15" s="1"/>
  <c r="B11" i="15"/>
  <c r="B15" i="15" s="1"/>
  <c r="M8" i="15"/>
  <c r="L8" i="15"/>
  <c r="K8" i="15"/>
  <c r="J8" i="15"/>
  <c r="I8" i="15"/>
  <c r="H8" i="15"/>
  <c r="G8" i="15"/>
  <c r="F8" i="15"/>
  <c r="E8" i="15"/>
  <c r="D8" i="15"/>
  <c r="C8" i="15"/>
  <c r="B8" i="15"/>
  <c r="N7" i="15"/>
  <c r="N6" i="15"/>
  <c r="N5" i="15"/>
  <c r="G60" i="14"/>
  <c r="H60" i="14" s="1"/>
  <c r="I60" i="14" s="1"/>
  <c r="J60" i="14" s="1"/>
  <c r="K60" i="14" s="1"/>
  <c r="L60" i="14" s="1"/>
  <c r="M60" i="14" s="1"/>
  <c r="C60" i="14"/>
  <c r="G59" i="14"/>
  <c r="H59" i="14" s="1"/>
  <c r="I59" i="14" s="1"/>
  <c r="J59" i="14" s="1"/>
  <c r="K59" i="14" s="1"/>
  <c r="L59" i="14" s="1"/>
  <c r="M59" i="14" s="1"/>
  <c r="C59" i="14"/>
  <c r="G58" i="14"/>
  <c r="H58" i="14" s="1"/>
  <c r="I58" i="14" s="1"/>
  <c r="J58" i="14" s="1"/>
  <c r="K58" i="14" s="1"/>
  <c r="L58" i="14" s="1"/>
  <c r="M58" i="14" s="1"/>
  <c r="F58" i="14"/>
  <c r="C58" i="14"/>
  <c r="G57" i="14"/>
  <c r="H57" i="14" s="1"/>
  <c r="I57" i="14" s="1"/>
  <c r="J57" i="14" s="1"/>
  <c r="K57" i="14" s="1"/>
  <c r="L57" i="14" s="1"/>
  <c r="M57" i="14" s="1"/>
  <c r="D57" i="14"/>
  <c r="N57" i="14" s="1"/>
  <c r="C57" i="14"/>
  <c r="F56" i="14"/>
  <c r="G56" i="14" s="1"/>
  <c r="H56" i="14" s="1"/>
  <c r="I56" i="14" s="1"/>
  <c r="J56" i="14" s="1"/>
  <c r="K56" i="14" s="1"/>
  <c r="L56" i="14" s="1"/>
  <c r="M56" i="14" s="1"/>
  <c r="B56" i="14"/>
  <c r="C56" i="14" s="1"/>
  <c r="G55" i="14"/>
  <c r="H55" i="14" s="1"/>
  <c r="I55" i="14" s="1"/>
  <c r="J55" i="14" s="1"/>
  <c r="K55" i="14" s="1"/>
  <c r="L55" i="14" s="1"/>
  <c r="M55" i="14" s="1"/>
  <c r="C55" i="14"/>
  <c r="K54" i="14"/>
  <c r="L54" i="14" s="1"/>
  <c r="M54" i="14" s="1"/>
  <c r="F54" i="14"/>
  <c r="G54" i="14" s="1"/>
  <c r="H54" i="14" s="1"/>
  <c r="I54" i="14" s="1"/>
  <c r="C54" i="14"/>
  <c r="H53" i="14"/>
  <c r="F53" i="14"/>
  <c r="C53" i="14"/>
  <c r="B53" i="14"/>
  <c r="B61" i="14" s="1"/>
  <c r="H52" i="14"/>
  <c r="I52" i="14" s="1"/>
  <c r="J52" i="14" s="1"/>
  <c r="K52" i="14" s="1"/>
  <c r="L52" i="14" s="1"/>
  <c r="M52" i="14" s="1"/>
  <c r="C52" i="14"/>
  <c r="D52" i="14" s="1"/>
  <c r="C51" i="14"/>
  <c r="D51" i="14" s="1"/>
  <c r="E51" i="14" s="1"/>
  <c r="F51" i="14" s="1"/>
  <c r="G51" i="14" s="1"/>
  <c r="H51" i="14" s="1"/>
  <c r="I51" i="14" s="1"/>
  <c r="J51" i="14" s="1"/>
  <c r="K51" i="14" s="1"/>
  <c r="L51" i="14" s="1"/>
  <c r="M51" i="14" s="1"/>
  <c r="I49" i="14"/>
  <c r="J49" i="14" s="1"/>
  <c r="G49" i="14"/>
  <c r="G53" i="14" s="1"/>
  <c r="D49" i="14"/>
  <c r="D53" i="14" s="1"/>
  <c r="F48" i="14"/>
  <c r="G48" i="14" s="1"/>
  <c r="H48" i="14" s="1"/>
  <c r="I48" i="14" s="1"/>
  <c r="J48" i="14" s="1"/>
  <c r="K48" i="14" s="1"/>
  <c r="L48" i="14" s="1"/>
  <c r="M48" i="14" s="1"/>
  <c r="C48" i="14"/>
  <c r="D48" i="14" s="1"/>
  <c r="M47" i="14"/>
  <c r="I47" i="14"/>
  <c r="J47" i="14" s="1"/>
  <c r="K47" i="14" s="1"/>
  <c r="L47" i="14" s="1"/>
  <c r="D47" i="14"/>
  <c r="C47" i="14"/>
  <c r="L46" i="14"/>
  <c r="M46" i="14" s="1"/>
  <c r="H46" i="14"/>
  <c r="I46" i="14" s="1"/>
  <c r="J46" i="14" s="1"/>
  <c r="K46" i="14" s="1"/>
  <c r="F46" i="14"/>
  <c r="C46" i="14"/>
  <c r="F45" i="14"/>
  <c r="G45" i="14" s="1"/>
  <c r="H45" i="14" s="1"/>
  <c r="I45" i="14" s="1"/>
  <c r="J45" i="14" s="1"/>
  <c r="K45" i="14" s="1"/>
  <c r="L45" i="14" s="1"/>
  <c r="M45" i="14" s="1"/>
  <c r="C45" i="14"/>
  <c r="D45" i="14" s="1"/>
  <c r="H44" i="14"/>
  <c r="I44" i="14" s="1"/>
  <c r="J44" i="14" s="1"/>
  <c r="K44" i="14" s="1"/>
  <c r="L44" i="14" s="1"/>
  <c r="M44" i="14" s="1"/>
  <c r="F44" i="14"/>
  <c r="D44" i="14"/>
  <c r="C44" i="14"/>
  <c r="H43" i="14"/>
  <c r="I43" i="14" s="1"/>
  <c r="J43" i="14" s="1"/>
  <c r="K43" i="14" s="1"/>
  <c r="L43" i="14" s="1"/>
  <c r="M43" i="14" s="1"/>
  <c r="F43" i="14"/>
  <c r="C43" i="14"/>
  <c r="F42" i="14"/>
  <c r="G42" i="14" s="1"/>
  <c r="H42" i="14" s="1"/>
  <c r="I42" i="14" s="1"/>
  <c r="J42" i="14" s="1"/>
  <c r="K42" i="14" s="1"/>
  <c r="L42" i="14" s="1"/>
  <c r="M42" i="14" s="1"/>
  <c r="C42" i="14"/>
  <c r="D42" i="14" s="1"/>
  <c r="F41" i="14"/>
  <c r="G41" i="14" s="1"/>
  <c r="H41" i="14" s="1"/>
  <c r="I41" i="14" s="1"/>
  <c r="J41" i="14" s="1"/>
  <c r="K41" i="14" s="1"/>
  <c r="L41" i="14" s="1"/>
  <c r="M41" i="14" s="1"/>
  <c r="C41" i="14"/>
  <c r="F40" i="14"/>
  <c r="G40" i="14" s="1"/>
  <c r="H40" i="14" s="1"/>
  <c r="I40" i="14" s="1"/>
  <c r="J40" i="14" s="1"/>
  <c r="K40" i="14" s="1"/>
  <c r="L40" i="14" s="1"/>
  <c r="M40" i="14" s="1"/>
  <c r="C40" i="14"/>
  <c r="G39" i="14"/>
  <c r="H39" i="14" s="1"/>
  <c r="I39" i="14" s="1"/>
  <c r="J39" i="14" s="1"/>
  <c r="K39" i="14" s="1"/>
  <c r="L39" i="14" s="1"/>
  <c r="M39" i="14" s="1"/>
  <c r="F39" i="14"/>
  <c r="C39" i="14"/>
  <c r="D39" i="14" s="1"/>
  <c r="F38" i="14"/>
  <c r="G38" i="14" s="1"/>
  <c r="H38" i="14" s="1"/>
  <c r="I38" i="14" s="1"/>
  <c r="J38" i="14" s="1"/>
  <c r="K38" i="14" s="1"/>
  <c r="L38" i="14" s="1"/>
  <c r="M38" i="14" s="1"/>
  <c r="C38" i="14"/>
  <c r="D38" i="14" s="1"/>
  <c r="F37" i="14"/>
  <c r="G37" i="14" s="1"/>
  <c r="H37" i="14" s="1"/>
  <c r="I37" i="14" s="1"/>
  <c r="J37" i="14" s="1"/>
  <c r="K37" i="14" s="1"/>
  <c r="L37" i="14" s="1"/>
  <c r="M37" i="14" s="1"/>
  <c r="C37" i="14"/>
  <c r="D37" i="14" s="1"/>
  <c r="C36" i="14"/>
  <c r="C35" i="14"/>
  <c r="D35" i="14" s="1"/>
  <c r="E35" i="14" s="1"/>
  <c r="F35" i="14" s="1"/>
  <c r="G35" i="14" s="1"/>
  <c r="H35" i="14" s="1"/>
  <c r="I35" i="14" s="1"/>
  <c r="J35" i="14" s="1"/>
  <c r="K35" i="14" s="1"/>
  <c r="L35" i="14" s="1"/>
  <c r="M35" i="14" s="1"/>
  <c r="C34" i="14"/>
  <c r="C33" i="14"/>
  <c r="D33" i="14" s="1"/>
  <c r="F26" i="14"/>
  <c r="C26" i="14"/>
  <c r="D26" i="14" s="1"/>
  <c r="E26" i="14" s="1"/>
  <c r="M25" i="14"/>
  <c r="L25" i="14"/>
  <c r="K25" i="14"/>
  <c r="J25" i="14"/>
  <c r="I25" i="14"/>
  <c r="H25" i="14"/>
  <c r="G25" i="14"/>
  <c r="E25" i="14"/>
  <c r="D25" i="14"/>
  <c r="C25" i="14"/>
  <c r="B25" i="14"/>
  <c r="M24" i="14"/>
  <c r="L24" i="14"/>
  <c r="K24" i="14"/>
  <c r="J24" i="14"/>
  <c r="I24" i="14"/>
  <c r="H24" i="14"/>
  <c r="G24" i="14"/>
  <c r="F24" i="14"/>
  <c r="D24" i="14"/>
  <c r="C24" i="14"/>
  <c r="B24" i="14"/>
  <c r="M23" i="14"/>
  <c r="L23" i="14"/>
  <c r="K23" i="14"/>
  <c r="J23" i="14"/>
  <c r="I23" i="14"/>
  <c r="H23" i="14"/>
  <c r="G23" i="14"/>
  <c r="F23" i="14"/>
  <c r="E23" i="14"/>
  <c r="D23" i="14"/>
  <c r="C23" i="14"/>
  <c r="B23" i="14"/>
  <c r="M22" i="14"/>
  <c r="L22" i="14"/>
  <c r="K22" i="14"/>
  <c r="J22" i="14"/>
  <c r="I22" i="14"/>
  <c r="H22" i="14"/>
  <c r="G22" i="14"/>
  <c r="F22" i="14"/>
  <c r="D22" i="14"/>
  <c r="C22" i="14"/>
  <c r="B22" i="14"/>
  <c r="M21" i="14"/>
  <c r="L21" i="14"/>
  <c r="K21" i="14"/>
  <c r="J21" i="14"/>
  <c r="I21" i="14"/>
  <c r="H21" i="14"/>
  <c r="G21" i="14"/>
  <c r="F21" i="14"/>
  <c r="E21" i="14"/>
  <c r="D21" i="14"/>
  <c r="C21" i="14"/>
  <c r="B21" i="14"/>
  <c r="M20" i="14"/>
  <c r="L20" i="14"/>
  <c r="K20" i="14"/>
  <c r="J20" i="14"/>
  <c r="I20" i="14"/>
  <c r="H20" i="14"/>
  <c r="G20" i="14"/>
  <c r="F20" i="14"/>
  <c r="E20" i="14"/>
  <c r="D20" i="14"/>
  <c r="C20" i="14"/>
  <c r="C28" i="14" s="1"/>
  <c r="B20" i="14"/>
  <c r="B28" i="14" s="1"/>
  <c r="M18" i="14"/>
  <c r="L18" i="14"/>
  <c r="K18" i="14"/>
  <c r="J18" i="14"/>
  <c r="I18" i="14"/>
  <c r="H18" i="14"/>
  <c r="G18" i="14"/>
  <c r="D18" i="14"/>
  <c r="C18" i="14"/>
  <c r="B18" i="14"/>
  <c r="N15" i="14"/>
  <c r="F14" i="14"/>
  <c r="F18" i="14" s="1"/>
  <c r="N12" i="14"/>
  <c r="N11" i="14"/>
  <c r="N8" i="14"/>
  <c r="E7" i="14"/>
  <c r="E18" i="14" s="1"/>
  <c r="N6" i="14"/>
  <c r="N5" i="14"/>
  <c r="D7" i="13"/>
  <c r="B7" i="13"/>
  <c r="N6" i="13"/>
  <c r="M6" i="13"/>
  <c r="L6" i="13"/>
  <c r="K6" i="13"/>
  <c r="J6" i="13"/>
  <c r="I6" i="13"/>
  <c r="I3" i="13" s="1"/>
  <c r="I4" i="13" s="1"/>
  <c r="I7" i="13" s="1"/>
  <c r="H6" i="13"/>
  <c r="G6" i="13"/>
  <c r="E6" i="13"/>
  <c r="F6" i="13" s="1"/>
  <c r="C6" i="13"/>
  <c r="N5" i="13"/>
  <c r="N3" i="13" s="1"/>
  <c r="N4" i="13" s="1"/>
  <c r="N7" i="13" s="1"/>
  <c r="M5" i="13"/>
  <c r="L5" i="13"/>
  <c r="K5" i="13"/>
  <c r="J5" i="13"/>
  <c r="I5" i="13"/>
  <c r="H5" i="13"/>
  <c r="G5" i="13"/>
  <c r="E5" i="13"/>
  <c r="D5" i="13"/>
  <c r="B5" i="13"/>
  <c r="E4" i="13"/>
  <c r="E7" i="13" s="1"/>
  <c r="C4" i="13"/>
  <c r="M3" i="13"/>
  <c r="M4" i="13" s="1"/>
  <c r="M7" i="13" s="1"/>
  <c r="J3" i="13"/>
  <c r="J4" i="13" s="1"/>
  <c r="J7" i="13" s="1"/>
  <c r="F3" i="13"/>
  <c r="F4" i="13" s="1"/>
  <c r="F7" i="13" s="1"/>
  <c r="E3" i="13"/>
  <c r="C3" i="13"/>
  <c r="H27" i="12"/>
  <c r="G27" i="12"/>
  <c r="N24" i="12"/>
  <c r="J24" i="12"/>
  <c r="K24" i="12" s="1"/>
  <c r="L24" i="12" s="1"/>
  <c r="H24" i="12"/>
  <c r="H22" i="12"/>
  <c r="I22" i="12" s="1"/>
  <c r="J22" i="12" s="1"/>
  <c r="K22" i="12" s="1"/>
  <c r="L22" i="12" s="1"/>
  <c r="M22" i="12" s="1"/>
  <c r="N22" i="12" s="1"/>
  <c r="C22" i="12"/>
  <c r="D22" i="12" s="1"/>
  <c r="E22" i="12" s="1"/>
  <c r="F22" i="12" s="1"/>
  <c r="B21" i="12"/>
  <c r="N19" i="12"/>
  <c r="N20" i="12" s="1"/>
  <c r="N21" i="12" s="1"/>
  <c r="M19" i="12"/>
  <c r="M20" i="12" s="1"/>
  <c r="M21" i="12" s="1"/>
  <c r="L19" i="12"/>
  <c r="L20" i="12" s="1"/>
  <c r="L21" i="12" s="1"/>
  <c r="K19" i="12"/>
  <c r="K20" i="12" s="1"/>
  <c r="K21" i="12" s="1"/>
  <c r="J19" i="12"/>
  <c r="J20" i="12" s="1"/>
  <c r="J21" i="12" s="1"/>
  <c r="I19" i="12"/>
  <c r="I20" i="12" s="1"/>
  <c r="I21" i="12" s="1"/>
  <c r="H19" i="12"/>
  <c r="H20" i="12" s="1"/>
  <c r="H21" i="12" s="1"/>
  <c r="G19" i="12"/>
  <c r="G20" i="12" s="1"/>
  <c r="G21" i="12" s="1"/>
  <c r="F19" i="12"/>
  <c r="F20" i="12" s="1"/>
  <c r="F21" i="12" s="1"/>
  <c r="E19" i="12"/>
  <c r="E20" i="12" s="1"/>
  <c r="E21" i="12" s="1"/>
  <c r="D19" i="12"/>
  <c r="D20" i="12" s="1"/>
  <c r="D21" i="12" s="1"/>
  <c r="C19" i="12"/>
  <c r="C20" i="12" s="1"/>
  <c r="C21" i="12" s="1"/>
  <c r="O21" i="12" s="1"/>
  <c r="B15" i="12"/>
  <c r="F11" i="12"/>
  <c r="N50" i="11"/>
  <c r="M50" i="11"/>
  <c r="L50" i="11"/>
  <c r="K50" i="11"/>
  <c r="J50" i="11"/>
  <c r="I50" i="11"/>
  <c r="H50" i="11"/>
  <c r="G50" i="11"/>
  <c r="F50" i="11"/>
  <c r="D50" i="11"/>
  <c r="C50" i="11"/>
  <c r="O49" i="11"/>
  <c r="O48" i="11"/>
  <c r="O47" i="11"/>
  <c r="O46" i="11"/>
  <c r="E45" i="11"/>
  <c r="E50" i="11" s="1"/>
  <c r="O44" i="11"/>
  <c r="O43" i="11"/>
  <c r="O42" i="11"/>
  <c r="O41" i="11"/>
  <c r="N39" i="11"/>
  <c r="M39" i="11"/>
  <c r="L39" i="11"/>
  <c r="K39" i="11"/>
  <c r="J39" i="11"/>
  <c r="I39" i="11"/>
  <c r="H39" i="11"/>
  <c r="G39" i="11"/>
  <c r="F39" i="11"/>
  <c r="E39" i="11"/>
  <c r="D39" i="11"/>
  <c r="C39" i="11"/>
  <c r="O38" i="11"/>
  <c r="O37" i="11"/>
  <c r="O36" i="11"/>
  <c r="O35" i="11"/>
  <c r="N32" i="11"/>
  <c r="M32" i="11"/>
  <c r="L32" i="11"/>
  <c r="K32" i="11"/>
  <c r="J32" i="11"/>
  <c r="I32" i="11"/>
  <c r="H32" i="11"/>
  <c r="G32" i="11"/>
  <c r="F32" i="11"/>
  <c r="E32" i="11"/>
  <c r="D32" i="11"/>
  <c r="C32" i="11"/>
  <c r="O31" i="11"/>
  <c r="O30" i="11"/>
  <c r="O32" i="11" s="1"/>
  <c r="N27" i="11"/>
  <c r="M27" i="11"/>
  <c r="L27" i="11"/>
  <c r="K27" i="11"/>
  <c r="J27" i="11"/>
  <c r="I27" i="11"/>
  <c r="H27" i="11"/>
  <c r="G27" i="11"/>
  <c r="F27" i="11"/>
  <c r="E27" i="11"/>
  <c r="D27" i="11"/>
  <c r="C27" i="11"/>
  <c r="O26" i="11"/>
  <c r="O25" i="11"/>
  <c r="O24" i="11"/>
  <c r="O23" i="11"/>
  <c r="O22" i="11"/>
  <c r="O21" i="11"/>
  <c r="O20" i="11"/>
  <c r="O19" i="11"/>
  <c r="N16" i="11"/>
  <c r="M16" i="11"/>
  <c r="L16" i="11"/>
  <c r="K16" i="11"/>
  <c r="K52" i="11" s="1"/>
  <c r="K24" i="8" s="1"/>
  <c r="J16" i="11"/>
  <c r="I16" i="11"/>
  <c r="H16" i="11"/>
  <c r="G16" i="11"/>
  <c r="G52" i="11" s="1"/>
  <c r="G24" i="8" s="1"/>
  <c r="F16" i="11"/>
  <c r="E16" i="11"/>
  <c r="D16" i="11"/>
  <c r="C16" i="11"/>
  <c r="C52" i="11" s="1"/>
  <c r="O15" i="11"/>
  <c r="O14" i="11"/>
  <c r="O13" i="11"/>
  <c r="O12" i="11"/>
  <c r="O11" i="11"/>
  <c r="O10" i="11"/>
  <c r="O9" i="11"/>
  <c r="O8" i="11"/>
  <c r="O7" i="11"/>
  <c r="O6" i="11"/>
  <c r="O5" i="11"/>
  <c r="Q47" i="10"/>
  <c r="H27" i="1" s="1"/>
  <c r="L46" i="10"/>
  <c r="M46" i="10" s="1"/>
  <c r="N46" i="10" s="1"/>
  <c r="O46" i="10" s="1"/>
  <c r="F26" i="1" s="1"/>
  <c r="W35" i="10"/>
  <c r="J34" i="10"/>
  <c r="G34" i="10"/>
  <c r="AU32" i="10"/>
  <c r="AT32" i="10"/>
  <c r="AS32" i="10"/>
  <c r="AR32" i="10"/>
  <c r="AQ32" i="10"/>
  <c r="AP32" i="10"/>
  <c r="J32" i="10"/>
  <c r="I32" i="10"/>
  <c r="H32" i="10"/>
  <c r="G32" i="10"/>
  <c r="F32" i="10"/>
  <c r="E32" i="10"/>
  <c r="D32" i="10"/>
  <c r="C32" i="10"/>
  <c r="B32" i="10"/>
  <c r="M28" i="10"/>
  <c r="R27" i="10"/>
  <c r="R24" i="10"/>
  <c r="Q24" i="10"/>
  <c r="P24" i="10"/>
  <c r="O24" i="10"/>
  <c r="J22" i="10"/>
  <c r="AU21" i="10"/>
  <c r="AT21" i="10"/>
  <c r="AP21" i="10"/>
  <c r="V21" i="10"/>
  <c r="X27" i="10" s="1"/>
  <c r="U21" i="10"/>
  <c r="W27" i="10" s="1"/>
  <c r="T21" i="10"/>
  <c r="U26" i="10" s="1"/>
  <c r="S21" i="10"/>
  <c r="U27" i="10" s="1"/>
  <c r="R21" i="10"/>
  <c r="U28" i="10" s="1"/>
  <c r="Q21" i="10"/>
  <c r="S27" i="10" s="1"/>
  <c r="P21" i="10"/>
  <c r="S28" i="10" s="1"/>
  <c r="O21" i="10"/>
  <c r="Q27" i="10" s="1"/>
  <c r="I21" i="10"/>
  <c r="H21" i="10"/>
  <c r="G21" i="10"/>
  <c r="F21" i="10"/>
  <c r="E21" i="10"/>
  <c r="D21" i="10"/>
  <c r="C21" i="10"/>
  <c r="B21" i="10"/>
  <c r="AP20" i="10"/>
  <c r="H20" i="10"/>
  <c r="H22" i="10" s="1"/>
  <c r="H33" i="10" s="1"/>
  <c r="I20" i="10" s="1"/>
  <c r="I22" i="10" s="1"/>
  <c r="I33" i="10" s="1"/>
  <c r="B20" i="10"/>
  <c r="AU15" i="10"/>
  <c r="AT15" i="10"/>
  <c r="AS15" i="10"/>
  <c r="AR15" i="10"/>
  <c r="AQ15" i="10"/>
  <c r="AP15" i="10"/>
  <c r="J15" i="10"/>
  <c r="I15" i="10"/>
  <c r="H15" i="10"/>
  <c r="G15" i="10"/>
  <c r="G20" i="10" s="1"/>
  <c r="G22" i="10" s="1"/>
  <c r="G33" i="10" s="1"/>
  <c r="F15" i="10"/>
  <c r="E15" i="10"/>
  <c r="D15" i="10"/>
  <c r="C15" i="10"/>
  <c r="B15" i="10"/>
  <c r="M13" i="10"/>
  <c r="L12" i="10"/>
  <c r="K11" i="10"/>
  <c r="S10" i="10"/>
  <c r="S14" i="10" s="1"/>
  <c r="S15" i="10" s="1"/>
  <c r="J13" i="1" s="1"/>
  <c r="J15" i="1" s="1"/>
  <c r="R9" i="10"/>
  <c r="Q9" i="10"/>
  <c r="P9" i="10"/>
  <c r="O9" i="10"/>
  <c r="J7" i="10"/>
  <c r="J16" i="10" s="1"/>
  <c r="AU6" i="10"/>
  <c r="AT6" i="10"/>
  <c r="AP6" i="10"/>
  <c r="V6" i="10"/>
  <c r="V10" i="10" s="1"/>
  <c r="V14" i="10" s="1"/>
  <c r="V15" i="10" s="1"/>
  <c r="U6" i="10"/>
  <c r="N23" i="12" s="1"/>
  <c r="T6" i="10"/>
  <c r="M23" i="12" s="1"/>
  <c r="S6" i="10"/>
  <c r="R6" i="10"/>
  <c r="K23" i="12" s="1"/>
  <c r="Q6" i="10"/>
  <c r="J23" i="12" s="1"/>
  <c r="P6" i="10"/>
  <c r="I23" i="12" s="1"/>
  <c r="O6" i="10"/>
  <c r="N6" i="10"/>
  <c r="N10" i="10" s="1"/>
  <c r="M6" i="10"/>
  <c r="N11" i="10" s="1"/>
  <c r="L6" i="10"/>
  <c r="L10" i="10" s="1"/>
  <c r="L14" i="10" s="1"/>
  <c r="L15" i="10" s="1"/>
  <c r="C13" i="1" s="1"/>
  <c r="C15" i="1" s="1"/>
  <c r="K6" i="10"/>
  <c r="L11" i="10" s="1"/>
  <c r="I6" i="10"/>
  <c r="I34" i="10" s="1"/>
  <c r="H6" i="10"/>
  <c r="K13" i="10" s="1"/>
  <c r="E6" i="10"/>
  <c r="D6" i="10"/>
  <c r="C6" i="10"/>
  <c r="B6" i="10"/>
  <c r="B7" i="10" s="1"/>
  <c r="B16" i="10" s="1"/>
  <c r="C5" i="10" s="1"/>
  <c r="C7" i="10" s="1"/>
  <c r="C16" i="10" s="1"/>
  <c r="D5" i="10" s="1"/>
  <c r="D7" i="10" s="1"/>
  <c r="AP5" i="10"/>
  <c r="AP7" i="10" s="1"/>
  <c r="AP16" i="10" s="1"/>
  <c r="AQ5" i="10" s="1"/>
  <c r="AQ7" i="10" s="1"/>
  <c r="AQ16" i="10" s="1"/>
  <c r="AR5" i="10" s="1"/>
  <c r="AR7" i="10" s="1"/>
  <c r="AR16" i="10" s="1"/>
  <c r="AS5" i="10" s="1"/>
  <c r="AS7" i="10" s="1"/>
  <c r="AS16" i="10" s="1"/>
  <c r="AT5" i="10" s="1"/>
  <c r="AT7" i="10" s="1"/>
  <c r="AT16" i="10" s="1"/>
  <c r="AU5" i="10" s="1"/>
  <c r="AU7" i="10" s="1"/>
  <c r="AU16" i="10" s="1"/>
  <c r="B5" i="10"/>
  <c r="N50" i="9"/>
  <c r="M50" i="9"/>
  <c r="L50" i="9"/>
  <c r="K50" i="9"/>
  <c r="J50" i="9"/>
  <c r="I50" i="9"/>
  <c r="H50" i="9"/>
  <c r="G50" i="9"/>
  <c r="F50" i="9"/>
  <c r="D50" i="9"/>
  <c r="C50" i="9"/>
  <c r="O49" i="9"/>
  <c r="O48" i="9"/>
  <c r="O47" i="9"/>
  <c r="O46" i="9"/>
  <c r="O45" i="9"/>
  <c r="E45" i="9"/>
  <c r="E50" i="9" s="1"/>
  <c r="O44" i="9"/>
  <c r="O43" i="9"/>
  <c r="O42" i="9"/>
  <c r="O41" i="9"/>
  <c r="N39" i="9"/>
  <c r="M39" i="9"/>
  <c r="L39" i="9"/>
  <c r="K39" i="9"/>
  <c r="J39" i="9"/>
  <c r="I39" i="9"/>
  <c r="H39" i="9"/>
  <c r="G39" i="9"/>
  <c r="F39" i="9"/>
  <c r="E39" i="9"/>
  <c r="D39" i="9"/>
  <c r="C39" i="9"/>
  <c r="O38" i="9"/>
  <c r="O37" i="9"/>
  <c r="O36" i="9"/>
  <c r="O35" i="9"/>
  <c r="N32" i="9"/>
  <c r="M32" i="9"/>
  <c r="L32" i="9"/>
  <c r="K32" i="9"/>
  <c r="J32" i="9"/>
  <c r="I32" i="9"/>
  <c r="H32" i="9"/>
  <c r="G32" i="9"/>
  <c r="F32" i="9"/>
  <c r="E32" i="9"/>
  <c r="D32" i="9"/>
  <c r="C32" i="9"/>
  <c r="O31" i="9"/>
  <c r="O30" i="9"/>
  <c r="O32" i="9" s="1"/>
  <c r="N27" i="9"/>
  <c r="M27" i="9"/>
  <c r="L27" i="9"/>
  <c r="K27" i="9"/>
  <c r="J27" i="9"/>
  <c r="I27" i="9"/>
  <c r="H27" i="9"/>
  <c r="G27" i="9"/>
  <c r="F27" i="9"/>
  <c r="E27" i="9"/>
  <c r="D27" i="9"/>
  <c r="C27" i="9"/>
  <c r="O26" i="9"/>
  <c r="O25" i="9"/>
  <c r="O24" i="9"/>
  <c r="O23" i="9"/>
  <c r="O22" i="9"/>
  <c r="O21" i="9"/>
  <c r="O20" i="9"/>
  <c r="O19" i="9"/>
  <c r="O27" i="9" s="1"/>
  <c r="N16" i="9"/>
  <c r="N52" i="9" s="1"/>
  <c r="M16" i="9"/>
  <c r="L16" i="9"/>
  <c r="K16" i="9"/>
  <c r="J16" i="9"/>
  <c r="J52" i="9" s="1"/>
  <c r="I16" i="9"/>
  <c r="H16" i="9"/>
  <c r="G16" i="9"/>
  <c r="F16" i="9"/>
  <c r="F52" i="9" s="1"/>
  <c r="E16" i="9"/>
  <c r="D16" i="9"/>
  <c r="D52" i="9" s="1"/>
  <c r="C16" i="9"/>
  <c r="O15" i="9"/>
  <c r="O14" i="9"/>
  <c r="O13" i="9"/>
  <c r="O12" i="9"/>
  <c r="O11" i="9"/>
  <c r="O10" i="9"/>
  <c r="O9" i="9"/>
  <c r="O8" i="9"/>
  <c r="O7" i="9"/>
  <c r="O6" i="9"/>
  <c r="O5" i="9"/>
  <c r="N22" i="8"/>
  <c r="M22" i="8"/>
  <c r="K22" i="8"/>
  <c r="J22" i="8"/>
  <c r="I22" i="8"/>
  <c r="C21" i="8"/>
  <c r="D21" i="8" s="1"/>
  <c r="E21" i="8" s="1"/>
  <c r="F21" i="8" s="1"/>
  <c r="G21" i="8" s="1"/>
  <c r="H21" i="8" s="1"/>
  <c r="I21" i="8" s="1"/>
  <c r="J21" i="8" s="1"/>
  <c r="K21" i="8" s="1"/>
  <c r="L21" i="8" s="1"/>
  <c r="M21" i="8" s="1"/>
  <c r="N21" i="8" s="1"/>
  <c r="B20" i="8"/>
  <c r="B15" i="8"/>
  <c r="H14" i="7"/>
  <c r="E14" i="7"/>
  <c r="D14" i="7"/>
  <c r="B14" i="7"/>
  <c r="G13" i="7"/>
  <c r="G12" i="7"/>
  <c r="G11" i="7"/>
  <c r="G10" i="7"/>
  <c r="F9" i="7"/>
  <c r="F14" i="7" s="1"/>
  <c r="C9" i="7"/>
  <c r="C14" i="7" s="1"/>
  <c r="G8" i="7"/>
  <c r="G7" i="7"/>
  <c r="G6" i="7"/>
  <c r="G5" i="7"/>
  <c r="G4" i="7"/>
  <c r="G3" i="7"/>
  <c r="H62" i="6"/>
  <c r="E61" i="6"/>
  <c r="B61" i="6"/>
  <c r="H60" i="6"/>
  <c r="H59" i="6"/>
  <c r="H55" i="6"/>
  <c r="H48" i="6"/>
  <c r="E43" i="6"/>
  <c r="E40" i="6"/>
  <c r="E38" i="6"/>
  <c r="H34" i="6"/>
  <c r="E31" i="6"/>
  <c r="E30" i="6"/>
  <c r="H26" i="6"/>
  <c r="E23" i="6"/>
  <c r="H22" i="6"/>
  <c r="H17" i="6"/>
  <c r="H16" i="6"/>
  <c r="H13" i="6"/>
  <c r="H10" i="6"/>
  <c r="B8" i="6"/>
  <c r="B9" i="6" s="1"/>
  <c r="B45" i="5"/>
  <c r="C44" i="5"/>
  <c r="C43" i="5"/>
  <c r="C42" i="5"/>
  <c r="C41" i="5"/>
  <c r="C40" i="5"/>
  <c r="C39" i="5"/>
  <c r="C38" i="5"/>
  <c r="C37" i="5"/>
  <c r="C35" i="5"/>
  <c r="C34" i="5"/>
  <c r="C33" i="5"/>
  <c r="C32" i="5"/>
  <c r="C31" i="5"/>
  <c r="C30" i="5"/>
  <c r="C29" i="5"/>
  <c r="C28" i="5"/>
  <c r="C27" i="5"/>
  <c r="C26" i="5"/>
  <c r="C25" i="5"/>
  <c r="C24" i="5"/>
  <c r="N23" i="5"/>
  <c r="C22" i="5"/>
  <c r="D22" i="5" s="1"/>
  <c r="C21" i="5"/>
  <c r="D21" i="5" s="1"/>
  <c r="C20" i="5"/>
  <c r="D20" i="5" s="1"/>
  <c r="C19" i="5"/>
  <c r="D19" i="5" s="1"/>
  <c r="C18" i="5"/>
  <c r="D18" i="5" s="1"/>
  <c r="D17" i="5"/>
  <c r="C17" i="5"/>
  <c r="M9" i="5"/>
  <c r="M12" i="5" s="1"/>
  <c r="L9" i="5"/>
  <c r="L12" i="5" s="1"/>
  <c r="K9" i="5"/>
  <c r="K12" i="5" s="1"/>
  <c r="J9" i="5"/>
  <c r="J12" i="5" s="1"/>
  <c r="I9" i="5"/>
  <c r="I12" i="5" s="1"/>
  <c r="H9" i="5"/>
  <c r="H12" i="5" s="1"/>
  <c r="G9" i="5"/>
  <c r="G12" i="5" s="1"/>
  <c r="F9" i="5"/>
  <c r="F12" i="5" s="1"/>
  <c r="E9" i="5"/>
  <c r="E12" i="5" s="1"/>
  <c r="D9" i="5"/>
  <c r="D12" i="5" s="1"/>
  <c r="C9" i="5"/>
  <c r="C12" i="5" s="1"/>
  <c r="B9" i="5"/>
  <c r="N9" i="5" s="1"/>
  <c r="M7" i="5"/>
  <c r="L7" i="5"/>
  <c r="K7" i="5"/>
  <c r="J7" i="5"/>
  <c r="I7" i="5"/>
  <c r="H7" i="5"/>
  <c r="G7" i="5"/>
  <c r="F7" i="5"/>
  <c r="E7" i="5"/>
  <c r="D7" i="5"/>
  <c r="C7" i="5"/>
  <c r="B7" i="5"/>
  <c r="N7" i="5" s="1"/>
  <c r="N5" i="5"/>
  <c r="O48" i="4"/>
  <c r="B45" i="4"/>
  <c r="B44" i="4"/>
  <c r="B43" i="4"/>
  <c r="B42" i="4"/>
  <c r="C39" i="4"/>
  <c r="B39" i="4"/>
  <c r="B38" i="4"/>
  <c r="D37" i="4"/>
  <c r="C37" i="4"/>
  <c r="B37" i="4"/>
  <c r="B36" i="4"/>
  <c r="J35" i="4"/>
  <c r="H35" i="4"/>
  <c r="E35" i="4"/>
  <c r="B35" i="4"/>
  <c r="M34" i="4"/>
  <c r="L34" i="4"/>
  <c r="K34" i="4"/>
  <c r="J34" i="4"/>
  <c r="I34" i="4"/>
  <c r="H34" i="4"/>
  <c r="G34" i="4"/>
  <c r="F34" i="4"/>
  <c r="E34" i="4"/>
  <c r="D34" i="4"/>
  <c r="C34" i="4"/>
  <c r="B34" i="4"/>
  <c r="C33" i="4"/>
  <c r="B33" i="4"/>
  <c r="C32" i="4"/>
  <c r="B32" i="4"/>
  <c r="C31" i="4"/>
  <c r="B31" i="4"/>
  <c r="C30" i="4"/>
  <c r="B30" i="4"/>
  <c r="B29" i="4"/>
  <c r="B28" i="4"/>
  <c r="B27" i="4"/>
  <c r="B26" i="4"/>
  <c r="B25" i="4"/>
  <c r="B24" i="4"/>
  <c r="B23" i="4"/>
  <c r="B22" i="4"/>
  <c r="B21" i="4"/>
  <c r="B20" i="4"/>
  <c r="B19" i="4"/>
  <c r="M13" i="4"/>
  <c r="L13" i="4"/>
  <c r="K13" i="4"/>
  <c r="J13" i="4"/>
  <c r="I13" i="4"/>
  <c r="H13" i="4"/>
  <c r="G13" i="4"/>
  <c r="F13" i="4"/>
  <c r="E13" i="4"/>
  <c r="D13" i="4"/>
  <c r="C13" i="4"/>
  <c r="B13" i="4"/>
  <c r="C12" i="4"/>
  <c r="B12" i="4"/>
  <c r="P10" i="4"/>
  <c r="O9" i="4"/>
  <c r="O16" i="4" s="1"/>
  <c r="M8" i="4"/>
  <c r="L8" i="4"/>
  <c r="K8" i="4"/>
  <c r="J8" i="4"/>
  <c r="I8" i="4"/>
  <c r="H8" i="4"/>
  <c r="G8" i="4"/>
  <c r="F8" i="4"/>
  <c r="E8" i="4"/>
  <c r="D8" i="4"/>
  <c r="C8" i="4"/>
  <c r="B8" i="4"/>
  <c r="M7" i="4"/>
  <c r="L7" i="4"/>
  <c r="K7" i="4"/>
  <c r="J7" i="4"/>
  <c r="I7" i="4"/>
  <c r="H7" i="4"/>
  <c r="G7" i="4"/>
  <c r="F7" i="4"/>
  <c r="E7" i="4"/>
  <c r="D7" i="4"/>
  <c r="C7" i="4"/>
  <c r="B7" i="4"/>
  <c r="M6" i="4"/>
  <c r="M9" i="4" s="1"/>
  <c r="L6" i="4"/>
  <c r="L9" i="4" s="1"/>
  <c r="K6" i="4"/>
  <c r="K9" i="4" s="1"/>
  <c r="J6" i="4"/>
  <c r="J9" i="4" s="1"/>
  <c r="I6" i="4"/>
  <c r="I9" i="4" s="1"/>
  <c r="H6" i="4"/>
  <c r="H9" i="4" s="1"/>
  <c r="G6" i="4"/>
  <c r="G9" i="4" s="1"/>
  <c r="F6" i="4"/>
  <c r="F9" i="4" s="1"/>
  <c r="E6" i="4"/>
  <c r="E9" i="4" s="1"/>
  <c r="D6" i="4"/>
  <c r="D9" i="4" s="1"/>
  <c r="C6" i="4"/>
  <c r="C9" i="4" s="1"/>
  <c r="B6" i="4"/>
  <c r="M73" i="2"/>
  <c r="L73" i="2"/>
  <c r="K73" i="2"/>
  <c r="J73" i="2"/>
  <c r="I73" i="2"/>
  <c r="H73" i="2"/>
  <c r="G73" i="2"/>
  <c r="F73" i="2"/>
  <c r="E73" i="2"/>
  <c r="D73" i="2"/>
  <c r="C73" i="2"/>
  <c r="B73" i="2"/>
  <c r="N72" i="2"/>
  <c r="N71" i="2"/>
  <c r="N70" i="2"/>
  <c r="N57" i="2"/>
  <c r="D54" i="2"/>
  <c r="D45" i="4" s="1"/>
  <c r="C54" i="2"/>
  <c r="C45" i="4" s="1"/>
  <c r="C53" i="2"/>
  <c r="C44" i="4" s="1"/>
  <c r="D52" i="2"/>
  <c r="C52" i="2"/>
  <c r="C43" i="4" s="1"/>
  <c r="C51" i="2"/>
  <c r="C42" i="4" s="1"/>
  <c r="B50" i="2"/>
  <c r="C49" i="2"/>
  <c r="C40" i="4" s="1"/>
  <c r="B49" i="2"/>
  <c r="B40" i="4" s="1"/>
  <c r="C48" i="2"/>
  <c r="D48" i="2" s="1"/>
  <c r="D39" i="4" s="1"/>
  <c r="D47" i="2"/>
  <c r="C47" i="2"/>
  <c r="C26" i="4" s="1"/>
  <c r="C46" i="2"/>
  <c r="C38" i="4" s="1"/>
  <c r="D44" i="2"/>
  <c r="C44" i="2"/>
  <c r="C36" i="4" s="1"/>
  <c r="K43" i="2"/>
  <c r="K35" i="4" s="1"/>
  <c r="I43" i="2"/>
  <c r="I35" i="4" s="1"/>
  <c r="F43" i="2"/>
  <c r="F35" i="4" s="1"/>
  <c r="C43" i="2"/>
  <c r="D43" i="2" s="1"/>
  <c r="D35" i="4" s="1"/>
  <c r="C42" i="2"/>
  <c r="D33" i="4" s="1"/>
  <c r="G41" i="2"/>
  <c r="F41" i="2"/>
  <c r="C41" i="2"/>
  <c r="D32" i="4" s="1"/>
  <c r="D40" i="2"/>
  <c r="C40" i="2"/>
  <c r="D31" i="4" s="1"/>
  <c r="C39" i="2"/>
  <c r="D30" i="4" s="1"/>
  <c r="D38" i="2"/>
  <c r="C38" i="2"/>
  <c r="C29" i="4" s="1"/>
  <c r="C37" i="2"/>
  <c r="C28" i="4" s="1"/>
  <c r="D36" i="2"/>
  <c r="C36" i="2"/>
  <c r="C27" i="4" s="1"/>
  <c r="C35" i="2"/>
  <c r="C25" i="4" s="1"/>
  <c r="D34" i="2"/>
  <c r="C34" i="2"/>
  <c r="C24" i="4" s="1"/>
  <c r="C33" i="2"/>
  <c r="C23" i="4" s="1"/>
  <c r="C32" i="2"/>
  <c r="C22" i="4" s="1"/>
  <c r="C31" i="2"/>
  <c r="C21" i="4" s="1"/>
  <c r="C30" i="2"/>
  <c r="C20" i="4" s="1"/>
  <c r="C29" i="2"/>
  <c r="C19" i="4" s="1"/>
  <c r="D28" i="2"/>
  <c r="E28" i="2" s="1"/>
  <c r="F28" i="2" s="1"/>
  <c r="G28" i="2" s="1"/>
  <c r="H28" i="2" s="1"/>
  <c r="I28" i="2" s="1"/>
  <c r="J28" i="2" s="1"/>
  <c r="K28" i="2" s="1"/>
  <c r="L28" i="2" s="1"/>
  <c r="M28" i="2" s="1"/>
  <c r="C28" i="2"/>
  <c r="D27" i="2"/>
  <c r="C27" i="2"/>
  <c r="C21" i="2"/>
  <c r="M20" i="2"/>
  <c r="L20" i="2"/>
  <c r="K20" i="2"/>
  <c r="J20" i="2"/>
  <c r="I20" i="2"/>
  <c r="H20" i="2"/>
  <c r="G20" i="2"/>
  <c r="F20" i="2"/>
  <c r="E20" i="2"/>
  <c r="D20" i="2"/>
  <c r="C20" i="2"/>
  <c r="B20" i="2"/>
  <c r="M19" i="2"/>
  <c r="L19" i="2"/>
  <c r="K19" i="2"/>
  <c r="J19" i="2"/>
  <c r="I19" i="2"/>
  <c r="H19" i="2"/>
  <c r="G19" i="2"/>
  <c r="F19" i="2"/>
  <c r="E19" i="2"/>
  <c r="D19" i="2"/>
  <c r="C19" i="2"/>
  <c r="B19" i="2"/>
  <c r="M18" i="2"/>
  <c r="L18" i="2"/>
  <c r="K18" i="2"/>
  <c r="J18" i="2"/>
  <c r="I18" i="2"/>
  <c r="H18" i="2"/>
  <c r="G18" i="2"/>
  <c r="F18" i="2"/>
  <c r="E18" i="2"/>
  <c r="D18" i="2"/>
  <c r="C18" i="2"/>
  <c r="B18" i="2"/>
  <c r="M17" i="2"/>
  <c r="L17" i="2"/>
  <c r="K17" i="2"/>
  <c r="J17" i="2"/>
  <c r="I17" i="2"/>
  <c r="H17" i="2"/>
  <c r="G17" i="2"/>
  <c r="F17" i="2"/>
  <c r="E17" i="2"/>
  <c r="D17" i="2"/>
  <c r="C17" i="2"/>
  <c r="B17" i="2"/>
  <c r="M16" i="2"/>
  <c r="L16" i="2"/>
  <c r="K16" i="2"/>
  <c r="J16" i="2"/>
  <c r="I16" i="2"/>
  <c r="H16" i="2"/>
  <c r="G16" i="2"/>
  <c r="F16" i="2"/>
  <c r="E16" i="2"/>
  <c r="D16" i="2"/>
  <c r="C16" i="2"/>
  <c r="B16" i="2"/>
  <c r="B22" i="2" s="1"/>
  <c r="K21" i="10" s="1"/>
  <c r="M14" i="2"/>
  <c r="L14" i="2"/>
  <c r="K14" i="2"/>
  <c r="J14" i="2"/>
  <c r="I14" i="2"/>
  <c r="H14" i="2"/>
  <c r="G14" i="2"/>
  <c r="F14" i="2"/>
  <c r="E14" i="2"/>
  <c r="D14" i="2"/>
  <c r="C14" i="2"/>
  <c r="B14" i="2"/>
  <c r="N13" i="2"/>
  <c r="N12" i="2"/>
  <c r="N10" i="2"/>
  <c r="N9" i="2"/>
  <c r="N7" i="2"/>
  <c r="N6" i="2"/>
  <c r="N5" i="2"/>
  <c r="G27" i="1"/>
  <c r="F27" i="1"/>
  <c r="M24" i="1"/>
  <c r="I24" i="1"/>
  <c r="J24" i="1" s="1"/>
  <c r="K24" i="1" s="1"/>
  <c r="G24" i="1"/>
  <c r="M23" i="1"/>
  <c r="J23" i="1"/>
  <c r="I23" i="1"/>
  <c r="I22" i="1"/>
  <c r="J22" i="1" s="1"/>
  <c r="K22" i="1" s="1"/>
  <c r="L22" i="1" s="1"/>
  <c r="M22" i="1" s="1"/>
  <c r="D22" i="1"/>
  <c r="E22" i="1" s="1"/>
  <c r="C22" i="1"/>
  <c r="M19" i="1"/>
  <c r="M20" i="1" s="1"/>
  <c r="M21" i="1" s="1"/>
  <c r="L19" i="1"/>
  <c r="L20" i="1" s="1"/>
  <c r="L21" i="1" s="1"/>
  <c r="K19" i="1"/>
  <c r="K20" i="1" s="1"/>
  <c r="K21" i="1" s="1"/>
  <c r="J19" i="1"/>
  <c r="J20" i="1" s="1"/>
  <c r="J21" i="1" s="1"/>
  <c r="I19" i="1"/>
  <c r="I20" i="1" s="1"/>
  <c r="I21" i="1" s="1"/>
  <c r="H19" i="1"/>
  <c r="H20" i="1" s="1"/>
  <c r="H21" i="1" s="1"/>
  <c r="G19" i="1"/>
  <c r="G20" i="1" s="1"/>
  <c r="G21" i="1" s="1"/>
  <c r="F19" i="1"/>
  <c r="F20" i="1" s="1"/>
  <c r="F21" i="1" s="1"/>
  <c r="E19" i="1"/>
  <c r="E20" i="1" s="1"/>
  <c r="E21" i="1" s="1"/>
  <c r="D19" i="1"/>
  <c r="D20" i="1" s="1"/>
  <c r="D21" i="1" s="1"/>
  <c r="C19" i="1"/>
  <c r="C20" i="1" s="1"/>
  <c r="C21" i="1" s="1"/>
  <c r="B19" i="1"/>
  <c r="B20" i="1" s="1"/>
  <c r="B21" i="1" s="1"/>
  <c r="N21" i="1" s="1"/>
  <c r="M13" i="1"/>
  <c r="M15" i="1" s="1"/>
  <c r="E11" i="1"/>
  <c r="F41" i="17" l="1"/>
  <c r="D43" i="17"/>
  <c r="E43" i="17"/>
  <c r="N38" i="14"/>
  <c r="N42" i="14"/>
  <c r="E40" i="15"/>
  <c r="E37" i="4"/>
  <c r="H23" i="1"/>
  <c r="L23" i="1"/>
  <c r="N17" i="2"/>
  <c r="N18" i="2"/>
  <c r="N19" i="2"/>
  <c r="D51" i="2"/>
  <c r="D53" i="2"/>
  <c r="D44" i="4" s="1"/>
  <c r="N73" i="2"/>
  <c r="N34" i="4"/>
  <c r="P34" i="4" s="1"/>
  <c r="H30" i="6" s="1"/>
  <c r="D14" i="5"/>
  <c r="H14" i="5"/>
  <c r="L14" i="5"/>
  <c r="C45" i="5"/>
  <c r="E52" i="9"/>
  <c r="I52" i="9"/>
  <c r="M52" i="9"/>
  <c r="O39" i="9"/>
  <c r="O50" i="9"/>
  <c r="M11" i="10"/>
  <c r="U11" i="10"/>
  <c r="O13" i="10"/>
  <c r="O16" i="11"/>
  <c r="E52" i="11"/>
  <c r="E24" i="8" s="1"/>
  <c r="I52" i="11"/>
  <c r="M52" i="11"/>
  <c r="M24" i="8" s="1"/>
  <c r="O39" i="11"/>
  <c r="N7" i="14"/>
  <c r="N21" i="14"/>
  <c r="N14" i="2"/>
  <c r="D30" i="2"/>
  <c r="D32" i="2"/>
  <c r="D22" i="4" s="1"/>
  <c r="D29" i="4"/>
  <c r="D36" i="4"/>
  <c r="N13" i="4"/>
  <c r="E14" i="5"/>
  <c r="E15" i="5" s="1"/>
  <c r="I14" i="5"/>
  <c r="M14" i="5"/>
  <c r="H61" i="6"/>
  <c r="H22" i="8"/>
  <c r="L22" i="8"/>
  <c r="H23" i="12"/>
  <c r="L23" i="12"/>
  <c r="P7" i="10"/>
  <c r="O11" i="10"/>
  <c r="K12" i="10"/>
  <c r="Q13" i="10"/>
  <c r="AP22" i="10"/>
  <c r="AP33" i="10" s="1"/>
  <c r="AQ20" i="10" s="1"/>
  <c r="AQ22" i="10" s="1"/>
  <c r="AQ33" i="10" s="1"/>
  <c r="AR20" i="10" s="1"/>
  <c r="AR22" i="10" s="1"/>
  <c r="AR33" i="10" s="1"/>
  <c r="AS20" i="10" s="1"/>
  <c r="AS22" i="10" s="1"/>
  <c r="AS33" i="10" s="1"/>
  <c r="AT20" i="10" s="1"/>
  <c r="AT22" i="10" s="1"/>
  <c r="AT33" i="10" s="1"/>
  <c r="AU20" i="10" s="1"/>
  <c r="AU22" i="10" s="1"/>
  <c r="AU33" i="10" s="1"/>
  <c r="J33" i="10"/>
  <c r="T28" i="10"/>
  <c r="F52" i="11"/>
  <c r="F24" i="8" s="1"/>
  <c r="J52" i="11"/>
  <c r="J24" i="8" s="1"/>
  <c r="N52" i="11"/>
  <c r="N24" i="8" s="1"/>
  <c r="C5" i="13"/>
  <c r="N43" i="15"/>
  <c r="E53" i="6" s="1"/>
  <c r="G3" i="13"/>
  <c r="G4" i="13" s="1"/>
  <c r="G7" i="13" s="1"/>
  <c r="K3" i="13"/>
  <c r="K4" i="13" s="1"/>
  <c r="K7" i="13" s="1"/>
  <c r="D28" i="14"/>
  <c r="D30" i="14" s="1"/>
  <c r="D31" i="14" s="1"/>
  <c r="E52" i="14"/>
  <c r="F52" i="14" s="1"/>
  <c r="I53" i="14"/>
  <c r="N8" i="15"/>
  <c r="E8" i="6" s="1"/>
  <c r="E9" i="6" s="1"/>
  <c r="B17" i="15"/>
  <c r="N12" i="15"/>
  <c r="F14" i="5"/>
  <c r="J14" i="5"/>
  <c r="B12" i="5"/>
  <c r="C52" i="9"/>
  <c r="G52" i="9"/>
  <c r="K52" i="9"/>
  <c r="Q11" i="10"/>
  <c r="S13" i="10"/>
  <c r="G23" i="1"/>
  <c r="K23" i="1"/>
  <c r="D29" i="2"/>
  <c r="E29" i="2" s="1"/>
  <c r="D31" i="2"/>
  <c r="D21" i="4" s="1"/>
  <c r="D33" i="2"/>
  <c r="D35" i="2"/>
  <c r="D37" i="2"/>
  <c r="D28" i="4" s="1"/>
  <c r="D39" i="2"/>
  <c r="D41" i="2"/>
  <c r="L43" i="2"/>
  <c r="L35" i="4" s="1"/>
  <c r="D46" i="2"/>
  <c r="D38" i="4" s="1"/>
  <c r="N6" i="4"/>
  <c r="N9" i="4" s="1"/>
  <c r="N7" i="4"/>
  <c r="P7" i="4" s="1"/>
  <c r="N8" i="4"/>
  <c r="C14" i="5"/>
  <c r="C46" i="5" s="1"/>
  <c r="G14" i="5"/>
  <c r="G15" i="5" s="1"/>
  <c r="K14" i="5"/>
  <c r="O16" i="9"/>
  <c r="O52" i="9" s="1"/>
  <c r="H52" i="9"/>
  <c r="L52" i="9"/>
  <c r="D16" i="10"/>
  <c r="E5" i="10" s="1"/>
  <c r="E7" i="10" s="1"/>
  <c r="E16" i="10" s="1"/>
  <c r="F5" i="10" s="1"/>
  <c r="F7" i="10" s="1"/>
  <c r="F16" i="10" s="1"/>
  <c r="G5" i="10" s="1"/>
  <c r="G7" i="10" s="1"/>
  <c r="G16" i="10" s="1"/>
  <c r="H5" i="10" s="1"/>
  <c r="H7" i="10" s="1"/>
  <c r="H16" i="10" s="1"/>
  <c r="I5" i="10" s="1"/>
  <c r="I7" i="10" s="1"/>
  <c r="I16" i="10" s="1"/>
  <c r="S11" i="10"/>
  <c r="U13" i="10"/>
  <c r="B22" i="10"/>
  <c r="B33" i="10" s="1"/>
  <c r="C20" i="10" s="1"/>
  <c r="C36" i="10" s="1"/>
  <c r="V27" i="10"/>
  <c r="D52" i="11"/>
  <c r="D24" i="8" s="1"/>
  <c r="H52" i="11"/>
  <c r="L52" i="11"/>
  <c r="L24" i="8" s="1"/>
  <c r="H3" i="13"/>
  <c r="H4" i="13" s="1"/>
  <c r="H7" i="13" s="1"/>
  <c r="L3" i="13"/>
  <c r="L4" i="13" s="1"/>
  <c r="L7" i="13" s="1"/>
  <c r="C7" i="13"/>
  <c r="E30" i="14"/>
  <c r="E31" i="14" s="1"/>
  <c r="E22" i="14"/>
  <c r="E28" i="14" s="1"/>
  <c r="M27" i="10"/>
  <c r="D22" i="8"/>
  <c r="N28" i="10"/>
  <c r="K22" i="10"/>
  <c r="C23" i="1"/>
  <c r="B24" i="2"/>
  <c r="N20" i="2"/>
  <c r="D21" i="2"/>
  <c r="E21" i="2" s="1"/>
  <c r="F21" i="2" s="1"/>
  <c r="G21" i="2" s="1"/>
  <c r="H21" i="2" s="1"/>
  <c r="I21" i="2" s="1"/>
  <c r="J21" i="2" s="1"/>
  <c r="K21" i="2" s="1"/>
  <c r="L21" i="2" s="1"/>
  <c r="M21" i="2" s="1"/>
  <c r="M22" i="2" s="1"/>
  <c r="M24" i="2" s="1"/>
  <c r="D20" i="4"/>
  <c r="E30" i="2"/>
  <c r="D24" i="4"/>
  <c r="E34" i="2"/>
  <c r="N16" i="2"/>
  <c r="D23" i="4"/>
  <c r="E33" i="2"/>
  <c r="O53" i="4"/>
  <c r="O49" i="4"/>
  <c r="C22" i="2"/>
  <c r="L21" i="10" s="1"/>
  <c r="E32" i="2"/>
  <c r="D27" i="4"/>
  <c r="E36" i="2"/>
  <c r="E27" i="2"/>
  <c r="N28" i="2"/>
  <c r="D25" i="4"/>
  <c r="E35" i="2"/>
  <c r="E38" i="2"/>
  <c r="E39" i="2"/>
  <c r="E40" i="2"/>
  <c r="G43" i="2"/>
  <c r="G35" i="4" s="1"/>
  <c r="M43" i="2"/>
  <c r="M35" i="4" s="1"/>
  <c r="N35" i="4" s="1"/>
  <c r="P35" i="4" s="1"/>
  <c r="H23" i="6" s="1"/>
  <c r="E44" i="2"/>
  <c r="E47" i="2"/>
  <c r="E48" i="2"/>
  <c r="D49" i="2"/>
  <c r="C50" i="2"/>
  <c r="B55" i="2"/>
  <c r="B9" i="4"/>
  <c r="D26" i="4"/>
  <c r="C35" i="4"/>
  <c r="D15" i="5"/>
  <c r="H15" i="5"/>
  <c r="L15" i="5"/>
  <c r="N43" i="2"/>
  <c r="B23" i="6" s="1"/>
  <c r="D43" i="4"/>
  <c r="I15" i="5"/>
  <c r="M15" i="5"/>
  <c r="N19" i="5"/>
  <c r="N41" i="5"/>
  <c r="H41" i="2"/>
  <c r="D42" i="2"/>
  <c r="E42" i="2" s="1"/>
  <c r="E51" i="2"/>
  <c r="E52" i="2"/>
  <c r="E53" i="2"/>
  <c r="E54" i="2"/>
  <c r="B41" i="4"/>
  <c r="D42" i="4"/>
  <c r="F15" i="5"/>
  <c r="J15" i="5"/>
  <c r="N12" i="5"/>
  <c r="N14" i="5" s="1"/>
  <c r="C15" i="5"/>
  <c r="C47" i="5"/>
  <c r="K15" i="5"/>
  <c r="N34" i="5"/>
  <c r="B14" i="5"/>
  <c r="B46" i="5" s="1"/>
  <c r="E17" i="5"/>
  <c r="E18" i="5"/>
  <c r="F18" i="5" s="1"/>
  <c r="G18" i="5" s="1"/>
  <c r="H18" i="5" s="1"/>
  <c r="I18" i="5" s="1"/>
  <c r="J18" i="5" s="1"/>
  <c r="K18" i="5" s="1"/>
  <c r="L18" i="5" s="1"/>
  <c r="M18" i="5" s="1"/>
  <c r="E19" i="5"/>
  <c r="F19" i="5" s="1"/>
  <c r="G19" i="5" s="1"/>
  <c r="H19" i="5" s="1"/>
  <c r="I19" i="5" s="1"/>
  <c r="J19" i="5" s="1"/>
  <c r="K19" i="5" s="1"/>
  <c r="L19" i="5" s="1"/>
  <c r="M19" i="5" s="1"/>
  <c r="E20" i="5"/>
  <c r="F20" i="5" s="1"/>
  <c r="G20" i="5" s="1"/>
  <c r="H20" i="5" s="1"/>
  <c r="I20" i="5" s="1"/>
  <c r="J20" i="5" s="1"/>
  <c r="K20" i="5" s="1"/>
  <c r="L20" i="5" s="1"/>
  <c r="M20" i="5" s="1"/>
  <c r="E21" i="5"/>
  <c r="F21" i="5" s="1"/>
  <c r="G21" i="5" s="1"/>
  <c r="H21" i="5" s="1"/>
  <c r="I21" i="5" s="1"/>
  <c r="J21" i="5" s="1"/>
  <c r="K21" i="5" s="1"/>
  <c r="L21" i="5" s="1"/>
  <c r="M21" i="5" s="1"/>
  <c r="E22" i="5"/>
  <c r="F22" i="5" s="1"/>
  <c r="G22" i="5" s="1"/>
  <c r="H22" i="5" s="1"/>
  <c r="I22" i="5" s="1"/>
  <c r="J22" i="5" s="1"/>
  <c r="K22" i="5" s="1"/>
  <c r="L22" i="5" s="1"/>
  <c r="M22" i="5" s="1"/>
  <c r="D24" i="5"/>
  <c r="E24" i="5" s="1"/>
  <c r="F24" i="5" s="1"/>
  <c r="G24" i="5" s="1"/>
  <c r="H24" i="5" s="1"/>
  <c r="I24" i="5" s="1"/>
  <c r="J24" i="5" s="1"/>
  <c r="K24" i="5" s="1"/>
  <c r="L24" i="5" s="1"/>
  <c r="M24" i="5" s="1"/>
  <c r="D25" i="5"/>
  <c r="E25" i="5" s="1"/>
  <c r="F25" i="5" s="1"/>
  <c r="G25" i="5" s="1"/>
  <c r="H25" i="5" s="1"/>
  <c r="I25" i="5" s="1"/>
  <c r="J25" i="5" s="1"/>
  <c r="K25" i="5" s="1"/>
  <c r="L25" i="5" s="1"/>
  <c r="M25" i="5" s="1"/>
  <c r="D26" i="5"/>
  <c r="E26" i="5" s="1"/>
  <c r="F26" i="5" s="1"/>
  <c r="G26" i="5" s="1"/>
  <c r="H26" i="5" s="1"/>
  <c r="I26" i="5" s="1"/>
  <c r="J26" i="5" s="1"/>
  <c r="K26" i="5" s="1"/>
  <c r="L26" i="5" s="1"/>
  <c r="M26" i="5" s="1"/>
  <c r="D27" i="5"/>
  <c r="E27" i="5" s="1"/>
  <c r="F27" i="5" s="1"/>
  <c r="G27" i="5" s="1"/>
  <c r="H27" i="5" s="1"/>
  <c r="I27" i="5" s="1"/>
  <c r="J27" i="5" s="1"/>
  <c r="K27" i="5" s="1"/>
  <c r="L27" i="5" s="1"/>
  <c r="M27" i="5" s="1"/>
  <c r="D28" i="5"/>
  <c r="E28" i="5" s="1"/>
  <c r="F28" i="5" s="1"/>
  <c r="G28" i="5" s="1"/>
  <c r="H28" i="5" s="1"/>
  <c r="I28" i="5" s="1"/>
  <c r="J28" i="5" s="1"/>
  <c r="K28" i="5" s="1"/>
  <c r="L28" i="5" s="1"/>
  <c r="M28" i="5" s="1"/>
  <c r="D29" i="5"/>
  <c r="E29" i="5" s="1"/>
  <c r="F29" i="5" s="1"/>
  <c r="G29" i="5" s="1"/>
  <c r="H29" i="5" s="1"/>
  <c r="I29" i="5" s="1"/>
  <c r="J29" i="5" s="1"/>
  <c r="K29" i="5" s="1"/>
  <c r="L29" i="5" s="1"/>
  <c r="M29" i="5" s="1"/>
  <c r="D30" i="5"/>
  <c r="E30" i="5" s="1"/>
  <c r="F30" i="5" s="1"/>
  <c r="G30" i="5" s="1"/>
  <c r="H30" i="5" s="1"/>
  <c r="I30" i="5" s="1"/>
  <c r="J30" i="5" s="1"/>
  <c r="K30" i="5" s="1"/>
  <c r="L30" i="5" s="1"/>
  <c r="M30" i="5" s="1"/>
  <c r="D31" i="5"/>
  <c r="E31" i="5" s="1"/>
  <c r="F31" i="5" s="1"/>
  <c r="G31" i="5" s="1"/>
  <c r="H31" i="5" s="1"/>
  <c r="I31" i="5" s="1"/>
  <c r="J31" i="5" s="1"/>
  <c r="K31" i="5" s="1"/>
  <c r="L31" i="5" s="1"/>
  <c r="M31" i="5" s="1"/>
  <c r="D32" i="5"/>
  <c r="E32" i="5" s="1"/>
  <c r="F32" i="5" s="1"/>
  <c r="G32" i="5" s="1"/>
  <c r="H32" i="5" s="1"/>
  <c r="I32" i="5" s="1"/>
  <c r="J32" i="5" s="1"/>
  <c r="K32" i="5" s="1"/>
  <c r="L32" i="5" s="1"/>
  <c r="M32" i="5" s="1"/>
  <c r="D33" i="5"/>
  <c r="E33" i="5" s="1"/>
  <c r="F33" i="5" s="1"/>
  <c r="G33" i="5" s="1"/>
  <c r="H33" i="5" s="1"/>
  <c r="I33" i="5" s="1"/>
  <c r="J33" i="5" s="1"/>
  <c r="K33" i="5" s="1"/>
  <c r="L33" i="5" s="1"/>
  <c r="M33" i="5" s="1"/>
  <c r="D34" i="5"/>
  <c r="E34" i="5" s="1"/>
  <c r="F34" i="5" s="1"/>
  <c r="G34" i="5" s="1"/>
  <c r="H34" i="5" s="1"/>
  <c r="I34" i="5" s="1"/>
  <c r="J34" i="5" s="1"/>
  <c r="K34" i="5" s="1"/>
  <c r="L34" i="5" s="1"/>
  <c r="M34" i="5" s="1"/>
  <c r="D35" i="5"/>
  <c r="E35" i="5" s="1"/>
  <c r="F35" i="5" s="1"/>
  <c r="G35" i="5" s="1"/>
  <c r="H35" i="5" s="1"/>
  <c r="I35" i="5" s="1"/>
  <c r="J35" i="5" s="1"/>
  <c r="K35" i="5" s="1"/>
  <c r="L35" i="5" s="1"/>
  <c r="M35" i="5" s="1"/>
  <c r="D37" i="5"/>
  <c r="E37" i="5" s="1"/>
  <c r="F37" i="5" s="1"/>
  <c r="G37" i="5" s="1"/>
  <c r="H37" i="5" s="1"/>
  <c r="I37" i="5" s="1"/>
  <c r="J37" i="5" s="1"/>
  <c r="K37" i="5" s="1"/>
  <c r="L37" i="5" s="1"/>
  <c r="M37" i="5" s="1"/>
  <c r="D38" i="5"/>
  <c r="E38" i="5" s="1"/>
  <c r="F38" i="5" s="1"/>
  <c r="G38" i="5" s="1"/>
  <c r="H38" i="5" s="1"/>
  <c r="I38" i="5" s="1"/>
  <c r="J38" i="5" s="1"/>
  <c r="K38" i="5" s="1"/>
  <c r="L38" i="5" s="1"/>
  <c r="M38" i="5" s="1"/>
  <c r="D39" i="5"/>
  <c r="E39" i="5" s="1"/>
  <c r="F39" i="5" s="1"/>
  <c r="G39" i="5" s="1"/>
  <c r="H39" i="5" s="1"/>
  <c r="I39" i="5" s="1"/>
  <c r="J39" i="5" s="1"/>
  <c r="K39" i="5" s="1"/>
  <c r="L39" i="5" s="1"/>
  <c r="M39" i="5" s="1"/>
  <c r="D40" i="5"/>
  <c r="E40" i="5" s="1"/>
  <c r="F40" i="5" s="1"/>
  <c r="G40" i="5" s="1"/>
  <c r="H40" i="5" s="1"/>
  <c r="I40" i="5" s="1"/>
  <c r="J40" i="5" s="1"/>
  <c r="K40" i="5" s="1"/>
  <c r="L40" i="5" s="1"/>
  <c r="M40" i="5" s="1"/>
  <c r="D41" i="5"/>
  <c r="E41" i="5" s="1"/>
  <c r="F41" i="5" s="1"/>
  <c r="G41" i="5" s="1"/>
  <c r="H41" i="5" s="1"/>
  <c r="I41" i="5" s="1"/>
  <c r="J41" i="5" s="1"/>
  <c r="K41" i="5" s="1"/>
  <c r="L41" i="5" s="1"/>
  <c r="M41" i="5" s="1"/>
  <c r="D42" i="5"/>
  <c r="E42" i="5" s="1"/>
  <c r="F42" i="5" s="1"/>
  <c r="G42" i="5" s="1"/>
  <c r="H42" i="5" s="1"/>
  <c r="I42" i="5" s="1"/>
  <c r="J42" i="5" s="1"/>
  <c r="K42" i="5" s="1"/>
  <c r="L42" i="5" s="1"/>
  <c r="M42" i="5" s="1"/>
  <c r="D43" i="5"/>
  <c r="E43" i="5" s="1"/>
  <c r="F43" i="5" s="1"/>
  <c r="G43" i="5" s="1"/>
  <c r="H43" i="5" s="1"/>
  <c r="I43" i="5" s="1"/>
  <c r="J43" i="5" s="1"/>
  <c r="K43" i="5" s="1"/>
  <c r="L43" i="5" s="1"/>
  <c r="M43" i="5" s="1"/>
  <c r="D44" i="5"/>
  <c r="E44" i="5" s="1"/>
  <c r="F44" i="5" s="1"/>
  <c r="G44" i="5" s="1"/>
  <c r="H44" i="5" s="1"/>
  <c r="I44" i="5" s="1"/>
  <c r="J44" i="5" s="1"/>
  <c r="K44" i="5" s="1"/>
  <c r="L44" i="5" s="1"/>
  <c r="M44" i="5" s="1"/>
  <c r="N13" i="12"/>
  <c r="N15" i="12" s="1"/>
  <c r="N13" i="8"/>
  <c r="N15" i="8" s="1"/>
  <c r="Q14" i="10"/>
  <c r="Q15" i="10" s="1"/>
  <c r="G26" i="12"/>
  <c r="P46" i="10"/>
  <c r="D13" i="12"/>
  <c r="D15" i="12" s="1"/>
  <c r="D13" i="8"/>
  <c r="D15" i="8" s="1"/>
  <c r="K13" i="12"/>
  <c r="K15" i="12" s="1"/>
  <c r="K13" i="8"/>
  <c r="K15" i="8" s="1"/>
  <c r="C22" i="10"/>
  <c r="C33" i="10" s="1"/>
  <c r="D20" i="10" s="1"/>
  <c r="G9" i="7"/>
  <c r="G14" i="7" s="1"/>
  <c r="P10" i="10"/>
  <c r="P14" i="10" s="1"/>
  <c r="P15" i="10" s="1"/>
  <c r="T10" i="10"/>
  <c r="T14" i="10" s="1"/>
  <c r="T15" i="10" s="1"/>
  <c r="P11" i="10"/>
  <c r="T11" i="10"/>
  <c r="P12" i="10"/>
  <c r="T12" i="10"/>
  <c r="L13" i="10"/>
  <c r="P13" i="10"/>
  <c r="T13" i="10"/>
  <c r="O22" i="10"/>
  <c r="P25" i="10"/>
  <c r="P32" i="10" s="1"/>
  <c r="T25" i="10"/>
  <c r="T32" i="10" s="1"/>
  <c r="Q26" i="10"/>
  <c r="V26" i="10"/>
  <c r="T27" i="10"/>
  <c r="V28" i="10"/>
  <c r="D23" i="12"/>
  <c r="W6" i="10"/>
  <c r="M10" i="10"/>
  <c r="Q10" i="10"/>
  <c r="U10" i="10"/>
  <c r="U14" i="10" s="1"/>
  <c r="U15" i="10" s="1"/>
  <c r="M12" i="10"/>
  <c r="Q12" i="10"/>
  <c r="U12" i="10"/>
  <c r="Q25" i="10"/>
  <c r="Q32" i="10" s="1"/>
  <c r="U25" i="10"/>
  <c r="U32" i="10" s="1"/>
  <c r="R26" i="10"/>
  <c r="H34" i="10"/>
  <c r="E33" i="14"/>
  <c r="E23" i="12"/>
  <c r="K7" i="10"/>
  <c r="O7" i="10"/>
  <c r="R10" i="10"/>
  <c r="R14" i="10" s="1"/>
  <c r="R15" i="10" s="1"/>
  <c r="R11" i="10"/>
  <c r="V11" i="10"/>
  <c r="N12" i="10"/>
  <c r="R12" i="10"/>
  <c r="V12" i="10"/>
  <c r="N13" i="10"/>
  <c r="R13" i="10"/>
  <c r="V13" i="10"/>
  <c r="R25" i="10"/>
  <c r="R32" i="10" s="1"/>
  <c r="V25" i="10"/>
  <c r="V32" i="10" s="1"/>
  <c r="S26" i="10"/>
  <c r="R28" i="10"/>
  <c r="I27" i="12"/>
  <c r="R47" i="10"/>
  <c r="O27" i="11"/>
  <c r="K10" i="10"/>
  <c r="K14" i="10" s="1"/>
  <c r="O10" i="10"/>
  <c r="O14" i="10" s="1"/>
  <c r="O15" i="10" s="1"/>
  <c r="O12" i="10"/>
  <c r="S12" i="10"/>
  <c r="O25" i="10"/>
  <c r="O32" i="10" s="1"/>
  <c r="S25" i="10"/>
  <c r="S32" i="10" s="1"/>
  <c r="S34" i="10" s="1"/>
  <c r="P26" i="10"/>
  <c r="T26" i="10"/>
  <c r="M28" i="14"/>
  <c r="M30" i="14" s="1"/>
  <c r="N39" i="14"/>
  <c r="O45" i="11"/>
  <c r="O50" i="11" s="1"/>
  <c r="O52" i="11" s="1"/>
  <c r="N14" i="14"/>
  <c r="N18" i="14" s="1"/>
  <c r="N20" i="14"/>
  <c r="G26" i="14"/>
  <c r="H26" i="14" s="1"/>
  <c r="I26" i="14" s="1"/>
  <c r="J26" i="14" s="1"/>
  <c r="K26" i="14" s="1"/>
  <c r="L26" i="14" s="1"/>
  <c r="M26" i="14" s="1"/>
  <c r="N44" i="14"/>
  <c r="K49" i="14"/>
  <c r="J53" i="14"/>
  <c r="G28" i="14"/>
  <c r="G30" i="14" s="1"/>
  <c r="K28" i="14"/>
  <c r="K30" i="14" s="1"/>
  <c r="F25" i="14"/>
  <c r="N25" i="14" s="1"/>
  <c r="N45" i="14"/>
  <c r="N48" i="14"/>
  <c r="B30" i="14"/>
  <c r="H28" i="14"/>
  <c r="H30" i="14" s="1"/>
  <c r="L28" i="14"/>
  <c r="L30" i="14" s="1"/>
  <c r="N22" i="14"/>
  <c r="N23" i="14"/>
  <c r="N24" i="14"/>
  <c r="D34" i="14"/>
  <c r="E34" i="14" s="1"/>
  <c r="F34" i="14" s="1"/>
  <c r="G34" i="14" s="1"/>
  <c r="H34" i="14" s="1"/>
  <c r="I34" i="14" s="1"/>
  <c r="J34" i="14" s="1"/>
  <c r="K34" i="14" s="1"/>
  <c r="L34" i="14" s="1"/>
  <c r="M34" i="14" s="1"/>
  <c r="D36" i="14"/>
  <c r="E36" i="14" s="1"/>
  <c r="F36" i="14" s="1"/>
  <c r="G36" i="14" s="1"/>
  <c r="H36" i="14" s="1"/>
  <c r="I36" i="14" s="1"/>
  <c r="J36" i="14" s="1"/>
  <c r="K36" i="14" s="1"/>
  <c r="L36" i="14" s="1"/>
  <c r="M36" i="14" s="1"/>
  <c r="D41" i="14"/>
  <c r="N41" i="14" s="1"/>
  <c r="N51" i="14"/>
  <c r="D55" i="14"/>
  <c r="E55" i="14" s="1"/>
  <c r="B18" i="15"/>
  <c r="B50" i="15"/>
  <c r="C30" i="14"/>
  <c r="C61" i="14"/>
  <c r="N35" i="14"/>
  <c r="N37" i="14"/>
  <c r="D40" i="14"/>
  <c r="N40" i="14" s="1"/>
  <c r="E47" i="14"/>
  <c r="F47" i="14" s="1"/>
  <c r="G47" i="14" s="1"/>
  <c r="G14" i="15"/>
  <c r="F15" i="15"/>
  <c r="E15" i="15"/>
  <c r="N44" i="15"/>
  <c r="E44" i="6" s="1"/>
  <c r="B49" i="15"/>
  <c r="D56" i="14"/>
  <c r="N56" i="14" s="1"/>
  <c r="D59" i="14"/>
  <c r="N59" i="14" s="1"/>
  <c r="N11" i="15"/>
  <c r="N21" i="15"/>
  <c r="E28" i="6" s="1"/>
  <c r="N27" i="15"/>
  <c r="E39" i="6" s="1"/>
  <c r="N38" i="15"/>
  <c r="E29" i="6" s="1"/>
  <c r="D46" i="14"/>
  <c r="N46" i="14" s="1"/>
  <c r="E49" i="14"/>
  <c r="E53" i="14" s="1"/>
  <c r="D58" i="14"/>
  <c r="N58" i="14" s="1"/>
  <c r="C17" i="15"/>
  <c r="N22" i="15"/>
  <c r="E35" i="6" s="1"/>
  <c r="N25" i="15"/>
  <c r="E37" i="6" s="1"/>
  <c r="D43" i="14"/>
  <c r="N43" i="14" s="1"/>
  <c r="D54" i="14"/>
  <c r="N54" i="14" s="1"/>
  <c r="D60" i="14"/>
  <c r="N60" i="14" s="1"/>
  <c r="D15" i="15"/>
  <c r="D12" i="4" s="1"/>
  <c r="N13" i="15"/>
  <c r="N28" i="15"/>
  <c r="E20" i="6" s="1"/>
  <c r="D31" i="15"/>
  <c r="E31" i="15" s="1"/>
  <c r="N35" i="15"/>
  <c r="E24" i="6" s="1"/>
  <c r="E25" i="6" s="1"/>
  <c r="F36" i="15"/>
  <c r="N37" i="15"/>
  <c r="E50" i="6" s="1"/>
  <c r="N47" i="15"/>
  <c r="E32" i="6" s="1"/>
  <c r="N23" i="15"/>
  <c r="E18" i="6" s="1"/>
  <c r="D40" i="15"/>
  <c r="N41" i="15"/>
  <c r="E52" i="6" s="1"/>
  <c r="N45" i="15"/>
  <c r="E45" i="6" s="1"/>
  <c r="C48" i="15"/>
  <c r="C49" i="15" s="1"/>
  <c r="D20" i="15"/>
  <c r="D19" i="4" s="1"/>
  <c r="N24" i="15"/>
  <c r="E36" i="6" s="1"/>
  <c r="N30" i="15"/>
  <c r="E41" i="6" s="1"/>
  <c r="O33" i="10" l="1"/>
  <c r="P20" i="10" s="1"/>
  <c r="P22" i="10" s="1"/>
  <c r="N26" i="5"/>
  <c r="H28" i="12"/>
  <c r="G28" i="1"/>
  <c r="H24" i="8"/>
  <c r="N52" i="14"/>
  <c r="D28" i="12"/>
  <c r="C28" i="1"/>
  <c r="D17" i="15"/>
  <c r="N32" i="5"/>
  <c r="P6" i="4"/>
  <c r="E31" i="2"/>
  <c r="E21" i="4" s="1"/>
  <c r="K22" i="2"/>
  <c r="K24" i="2" s="1"/>
  <c r="E37" i="2"/>
  <c r="N36" i="14"/>
  <c r="N26" i="14"/>
  <c r="N28" i="14" s="1"/>
  <c r="N30" i="14" s="1"/>
  <c r="N31" i="14" s="1"/>
  <c r="N43" i="5"/>
  <c r="N24" i="5"/>
  <c r="E46" i="2"/>
  <c r="F28" i="12"/>
  <c r="E28" i="1"/>
  <c r="I28" i="12"/>
  <c r="I24" i="8"/>
  <c r="H28" i="1"/>
  <c r="G13" i="12"/>
  <c r="G15" i="12" s="1"/>
  <c r="O34" i="10"/>
  <c r="G13" i="8"/>
  <c r="G15" i="8" s="1"/>
  <c r="F13" i="1"/>
  <c r="F15" i="1" s="1"/>
  <c r="P48" i="10"/>
  <c r="H18" i="8"/>
  <c r="H26" i="8" s="1"/>
  <c r="M11" i="4"/>
  <c r="M25" i="2"/>
  <c r="K31" i="14"/>
  <c r="G31" i="14"/>
  <c r="J13" i="12"/>
  <c r="J15" i="12" s="1"/>
  <c r="R34" i="10"/>
  <c r="J13" i="8"/>
  <c r="J15" i="8" s="1"/>
  <c r="I13" i="1"/>
  <c r="I15" i="1" s="1"/>
  <c r="I18" i="8"/>
  <c r="I26" i="8" s="1"/>
  <c r="H13" i="12"/>
  <c r="H15" i="12" s="1"/>
  <c r="P34" i="10"/>
  <c r="H13" i="8"/>
  <c r="H15" i="8" s="1"/>
  <c r="G13" i="1"/>
  <c r="G15" i="1" s="1"/>
  <c r="P16" i="10"/>
  <c r="N15" i="5"/>
  <c r="K25" i="2"/>
  <c r="K11" i="4"/>
  <c r="B31" i="14"/>
  <c r="B64" i="14"/>
  <c r="M31" i="14"/>
  <c r="F28" i="14"/>
  <c r="F30" i="14" s="1"/>
  <c r="O48" i="10"/>
  <c r="G18" i="8"/>
  <c r="G26" i="8" s="1"/>
  <c r="F31" i="15"/>
  <c r="E32" i="4"/>
  <c r="C18" i="15"/>
  <c r="C50" i="15"/>
  <c r="E17" i="15"/>
  <c r="E12" i="4"/>
  <c r="N47" i="14"/>
  <c r="B62" i="14"/>
  <c r="N55" i="14"/>
  <c r="N34" i="14"/>
  <c r="L49" i="14"/>
  <c r="K53" i="14"/>
  <c r="I28" i="14"/>
  <c r="I30" i="14" s="1"/>
  <c r="E61" i="14"/>
  <c r="F33" i="14"/>
  <c r="M18" i="8"/>
  <c r="M26" i="8" s="1"/>
  <c r="D36" i="10"/>
  <c r="D22" i="10"/>
  <c r="D33" i="10" s="1"/>
  <c r="E20" i="10" s="1"/>
  <c r="H26" i="12"/>
  <c r="Q46" i="10"/>
  <c r="Q48" i="10" s="1"/>
  <c r="G26" i="1"/>
  <c r="N30" i="5"/>
  <c r="N18" i="5"/>
  <c r="N42" i="5"/>
  <c r="N25" i="5"/>
  <c r="E42" i="4"/>
  <c r="F51" i="2"/>
  <c r="N28" i="5"/>
  <c r="D45" i="5"/>
  <c r="N31" i="5"/>
  <c r="E49" i="2"/>
  <c r="D40" i="4"/>
  <c r="E36" i="4"/>
  <c r="F44" i="2"/>
  <c r="E31" i="4"/>
  <c r="F40" i="2"/>
  <c r="C55" i="2"/>
  <c r="E20" i="4"/>
  <c r="F30" i="2"/>
  <c r="N21" i="2"/>
  <c r="E22" i="2"/>
  <c r="D22" i="2"/>
  <c r="J27" i="12"/>
  <c r="S47" i="10"/>
  <c r="I27" i="1"/>
  <c r="M13" i="12"/>
  <c r="M15" i="12" s="1"/>
  <c r="U34" i="10"/>
  <c r="M13" i="8"/>
  <c r="M15" i="8" s="1"/>
  <c r="M27" i="8" s="1"/>
  <c r="L13" i="1"/>
  <c r="L15" i="1" s="1"/>
  <c r="P33" i="10"/>
  <c r="Q20" i="10" s="1"/>
  <c r="Q22" i="10" s="1"/>
  <c r="Q33" i="10" s="1"/>
  <c r="R20" i="10" s="1"/>
  <c r="R22" i="10" s="1"/>
  <c r="R33" i="10" s="1"/>
  <c r="S20" i="10" s="1"/>
  <c r="S22" i="10" s="1"/>
  <c r="S33" i="10" s="1"/>
  <c r="T20" i="10" s="1"/>
  <c r="T22" i="10" s="1"/>
  <c r="T33" i="10" s="1"/>
  <c r="U20" i="10" s="1"/>
  <c r="U22" i="10" s="1"/>
  <c r="U33" i="10" s="1"/>
  <c r="V20" i="10" s="1"/>
  <c r="V22" i="10" s="1"/>
  <c r="V33" i="10" s="1"/>
  <c r="L13" i="12"/>
  <c r="L15" i="12" s="1"/>
  <c r="T34" i="10"/>
  <c r="L13" i="8"/>
  <c r="L15" i="8" s="1"/>
  <c r="K13" i="1"/>
  <c r="K15" i="1" s="1"/>
  <c r="I13" i="12"/>
  <c r="I15" i="12" s="1"/>
  <c r="Q34" i="10"/>
  <c r="I13" i="8"/>
  <c r="I15" i="8" s="1"/>
  <c r="H13" i="1"/>
  <c r="H15" i="1" s="1"/>
  <c r="C48" i="5"/>
  <c r="C50" i="5"/>
  <c r="C51" i="5" s="1"/>
  <c r="N38" i="5"/>
  <c r="E45" i="4"/>
  <c r="F54" i="2"/>
  <c r="N44" i="5"/>
  <c r="N27" i="5"/>
  <c r="E39" i="4"/>
  <c r="F48" i="2"/>
  <c r="E30" i="4"/>
  <c r="F39" i="2"/>
  <c r="P9" i="4"/>
  <c r="H8" i="6" s="1"/>
  <c r="H9" i="6" s="1"/>
  <c r="E25" i="4"/>
  <c r="F35" i="2"/>
  <c r="E22" i="4"/>
  <c r="F32" i="2"/>
  <c r="E23" i="4"/>
  <c r="F33" i="2"/>
  <c r="N22" i="2"/>
  <c r="N24" i="2" s="1"/>
  <c r="L26" i="10"/>
  <c r="K25" i="10"/>
  <c r="K32" i="10" s="1"/>
  <c r="D48" i="15"/>
  <c r="D49" i="15" s="1"/>
  <c r="E20" i="15"/>
  <c r="D18" i="15"/>
  <c r="F17" i="15"/>
  <c r="F12" i="4"/>
  <c r="C64" i="14"/>
  <c r="C31" i="14"/>
  <c r="B51" i="15"/>
  <c r="B53" i="15" s="1"/>
  <c r="B54" i="15" s="1"/>
  <c r="L31" i="14"/>
  <c r="K18" i="8"/>
  <c r="K26" i="8" s="1"/>
  <c r="K27" i="8" s="1"/>
  <c r="N18" i="8"/>
  <c r="N26" i="8" s="1"/>
  <c r="O16" i="10"/>
  <c r="D61" i="14"/>
  <c r="E21" i="6"/>
  <c r="F40" i="15"/>
  <c r="G36" i="15"/>
  <c r="F37" i="4"/>
  <c r="H14" i="15"/>
  <c r="G15" i="15"/>
  <c r="C62" i="14"/>
  <c r="H31" i="14"/>
  <c r="W14" i="10"/>
  <c r="K15" i="10"/>
  <c r="W7" i="10"/>
  <c r="J28" i="14"/>
  <c r="J30" i="14" s="1"/>
  <c r="L18" i="8"/>
  <c r="L26" i="8" s="1"/>
  <c r="V34" i="10"/>
  <c r="E45" i="5"/>
  <c r="F17" i="5"/>
  <c r="N39" i="5"/>
  <c r="N22" i="5"/>
  <c r="N33" i="5"/>
  <c r="E44" i="4"/>
  <c r="F53" i="2"/>
  <c r="E33" i="4"/>
  <c r="F42" i="2"/>
  <c r="N37" i="5"/>
  <c r="N21" i="5"/>
  <c r="N40" i="5"/>
  <c r="C20" i="8"/>
  <c r="B46" i="4"/>
  <c r="B56" i="2"/>
  <c r="B47" i="4" s="1"/>
  <c r="E26" i="4"/>
  <c r="F47" i="2"/>
  <c r="E29" i="4"/>
  <c r="F38" i="2"/>
  <c r="F27" i="2"/>
  <c r="E27" i="4"/>
  <c r="F36" i="2"/>
  <c r="G22" i="2"/>
  <c r="G24" i="2" s="1"/>
  <c r="E28" i="4"/>
  <c r="F37" i="2"/>
  <c r="E24" i="4"/>
  <c r="F34" i="2"/>
  <c r="L22" i="2"/>
  <c r="L24" i="2" s="1"/>
  <c r="J22" i="2"/>
  <c r="J24" i="2" s="1"/>
  <c r="J18" i="8"/>
  <c r="J26" i="8" s="1"/>
  <c r="N27" i="8"/>
  <c r="B47" i="5"/>
  <c r="B15" i="5"/>
  <c r="N20" i="5"/>
  <c r="N29" i="5"/>
  <c r="E43" i="4"/>
  <c r="F52" i="2"/>
  <c r="I41" i="2"/>
  <c r="N35" i="5"/>
  <c r="C41" i="4"/>
  <c r="D50" i="2"/>
  <c r="E38" i="4"/>
  <c r="F46" i="2"/>
  <c r="O28" i="10"/>
  <c r="E22" i="8"/>
  <c r="N27" i="10"/>
  <c r="M26" i="10"/>
  <c r="D23" i="1"/>
  <c r="F29" i="2"/>
  <c r="I22" i="2"/>
  <c r="I24" i="2" s="1"/>
  <c r="B58" i="2"/>
  <c r="B11" i="4"/>
  <c r="B25" i="2"/>
  <c r="H22" i="2"/>
  <c r="H24" i="2" s="1"/>
  <c r="C24" i="2"/>
  <c r="F22" i="2"/>
  <c r="F24" i="2" s="1"/>
  <c r="F31" i="2" l="1"/>
  <c r="D50" i="15"/>
  <c r="I18" i="12"/>
  <c r="I30" i="12" s="1"/>
  <c r="I31" i="12" s="1"/>
  <c r="H18" i="1"/>
  <c r="H30" i="1" s="1"/>
  <c r="F43" i="4"/>
  <c r="G52" i="2"/>
  <c r="F45" i="5"/>
  <c r="G17" i="5"/>
  <c r="I14" i="15"/>
  <c r="H15" i="15"/>
  <c r="C65" i="14"/>
  <c r="C66" i="14" s="1"/>
  <c r="C67" i="14" s="1"/>
  <c r="B11" i="6"/>
  <c r="B12" i="6" s="1"/>
  <c r="N25" i="2"/>
  <c r="F39" i="4"/>
  <c r="G48" i="2"/>
  <c r="H11" i="4"/>
  <c r="H25" i="2"/>
  <c r="I11" i="4"/>
  <c r="I25" i="2"/>
  <c r="G31" i="2"/>
  <c r="F21" i="4"/>
  <c r="B48" i="5"/>
  <c r="B50" i="5" s="1"/>
  <c r="B51" i="5" s="1"/>
  <c r="J11" i="4"/>
  <c r="J25" i="2"/>
  <c r="G25" i="2"/>
  <c r="G11" i="4"/>
  <c r="G27" i="2"/>
  <c r="F26" i="4"/>
  <c r="G47" i="2"/>
  <c r="G42" i="2"/>
  <c r="F33" i="4"/>
  <c r="E46" i="5"/>
  <c r="E47" i="5"/>
  <c r="D62" i="14"/>
  <c r="D64" i="14"/>
  <c r="B18" i="12"/>
  <c r="B30" i="12" s="1"/>
  <c r="B31" i="12" s="1"/>
  <c r="B32" i="12" s="1"/>
  <c r="C18" i="12"/>
  <c r="C18" i="8"/>
  <c r="B18" i="8"/>
  <c r="B26" i="8" s="1"/>
  <c r="B27" i="8" s="1"/>
  <c r="B28" i="8" s="1"/>
  <c r="B18" i="1"/>
  <c r="G33" i="2"/>
  <c r="F23" i="4"/>
  <c r="F45" i="4"/>
  <c r="G54" i="2"/>
  <c r="F20" i="4"/>
  <c r="G30" i="2"/>
  <c r="D20" i="8"/>
  <c r="C46" i="4"/>
  <c r="C56" i="2"/>
  <c r="C47" i="4" s="1"/>
  <c r="D46" i="5"/>
  <c r="D47" i="5"/>
  <c r="E62" i="14"/>
  <c r="E64" i="14"/>
  <c r="H27" i="8"/>
  <c r="G27" i="8"/>
  <c r="L11" i="4"/>
  <c r="L25" i="2"/>
  <c r="G36" i="2"/>
  <c r="F27" i="4"/>
  <c r="C13" i="12"/>
  <c r="K34" i="10"/>
  <c r="C13" i="8"/>
  <c r="B13" i="1"/>
  <c r="H36" i="15"/>
  <c r="G40" i="15"/>
  <c r="G37" i="4"/>
  <c r="M21" i="10"/>
  <c r="D24" i="2"/>
  <c r="I31" i="14"/>
  <c r="E18" i="15"/>
  <c r="G18" i="12"/>
  <c r="G30" i="12" s="1"/>
  <c r="G31" i="12" s="1"/>
  <c r="G32" i="12" s="1"/>
  <c r="H11" i="12" s="1"/>
  <c r="F18" i="1"/>
  <c r="F30" i="1" s="1"/>
  <c r="F31" i="1" s="1"/>
  <c r="F32" i="1" s="1"/>
  <c r="G29" i="2"/>
  <c r="D41" i="4"/>
  <c r="E50" i="2"/>
  <c r="D55" i="2"/>
  <c r="F18" i="15"/>
  <c r="E48" i="15"/>
  <c r="E49" i="15" s="1"/>
  <c r="F20" i="15"/>
  <c r="F19" i="4" s="1"/>
  <c r="G35" i="2"/>
  <c r="F25" i="4"/>
  <c r="F30" i="4"/>
  <c r="G39" i="2"/>
  <c r="H31" i="1"/>
  <c r="G40" i="2"/>
  <c r="F31" i="4"/>
  <c r="F11" i="4"/>
  <c r="F14" i="4" s="1"/>
  <c r="F16" i="4" s="1"/>
  <c r="F25" i="2"/>
  <c r="B14" i="4"/>
  <c r="B16" i="4" s="1"/>
  <c r="E19" i="4"/>
  <c r="J41" i="2"/>
  <c r="F24" i="4"/>
  <c r="G34" i="2"/>
  <c r="F28" i="4"/>
  <c r="G37" i="2"/>
  <c r="G38" i="2"/>
  <c r="F29" i="4"/>
  <c r="F44" i="4"/>
  <c r="G53" i="2"/>
  <c r="J31" i="14"/>
  <c r="X14" i="10"/>
  <c r="G12" i="4"/>
  <c r="G17" i="15"/>
  <c r="K33" i="10"/>
  <c r="L20" i="10" s="1"/>
  <c r="L22" i="10" s="1"/>
  <c r="F22" i="4"/>
  <c r="G32" i="2"/>
  <c r="I27" i="8"/>
  <c r="L27" i="8"/>
  <c r="N21" i="10"/>
  <c r="E24" i="2"/>
  <c r="E40" i="4"/>
  <c r="F49" i="2"/>
  <c r="F42" i="4"/>
  <c r="G51" i="2"/>
  <c r="G31" i="15"/>
  <c r="F32" i="4"/>
  <c r="F31" i="14"/>
  <c r="F64" i="14"/>
  <c r="B65" i="14"/>
  <c r="Q5" i="10"/>
  <c r="Q7" i="10" s="1"/>
  <c r="Q16" i="10" s="1"/>
  <c r="P49" i="10"/>
  <c r="J27" i="8"/>
  <c r="H18" i="12"/>
  <c r="H30" i="12" s="1"/>
  <c r="H31" i="12" s="1"/>
  <c r="G18" i="1"/>
  <c r="G30" i="1" s="1"/>
  <c r="C25" i="2"/>
  <c r="C11" i="4"/>
  <c r="C14" i="4" s="1"/>
  <c r="C16" i="4" s="1"/>
  <c r="C58" i="2"/>
  <c r="B59" i="2"/>
  <c r="F38" i="4"/>
  <c r="G46" i="2"/>
  <c r="K16" i="10"/>
  <c r="L5" i="10" s="1"/>
  <c r="L7" i="10" s="1"/>
  <c r="L16" i="10" s="1"/>
  <c r="M5" i="10" s="1"/>
  <c r="D51" i="15"/>
  <c r="D53" i="15" s="1"/>
  <c r="D54" i="15" s="1"/>
  <c r="T47" i="10"/>
  <c r="K27" i="12"/>
  <c r="J27" i="1"/>
  <c r="B48" i="4"/>
  <c r="B49" i="4" s="1"/>
  <c r="F36" i="4"/>
  <c r="G44" i="2"/>
  <c r="I26" i="12"/>
  <c r="R46" i="10"/>
  <c r="H26" i="1"/>
  <c r="E36" i="10"/>
  <c r="E22" i="10"/>
  <c r="E33" i="10" s="1"/>
  <c r="F20" i="10" s="1"/>
  <c r="F22" i="10" s="1"/>
  <c r="F33" i="10" s="1"/>
  <c r="F61" i="14"/>
  <c r="F62" i="14" s="1"/>
  <c r="G33" i="14"/>
  <c r="L53" i="14"/>
  <c r="M49" i="14"/>
  <c r="M53" i="14" s="1"/>
  <c r="N53" i="14" s="1"/>
  <c r="C51" i="15"/>
  <c r="G31" i="1"/>
  <c r="G32" i="1" s="1"/>
  <c r="H11" i="1" s="1"/>
  <c r="H32" i="1" s="1"/>
  <c r="I11" i="1" s="1"/>
  <c r="N49" i="14" l="1"/>
  <c r="G14" i="4"/>
  <c r="G16" i="4" s="1"/>
  <c r="C48" i="4"/>
  <c r="C49" i="4" s="1"/>
  <c r="G18" i="15"/>
  <c r="G30" i="4"/>
  <c r="H39" i="2"/>
  <c r="C53" i="15"/>
  <c r="C54" i="15" s="1"/>
  <c r="N9" i="10"/>
  <c r="N14" i="10" s="1"/>
  <c r="N15" i="10" s="1"/>
  <c r="M9" i="10"/>
  <c r="M14" i="10" s="1"/>
  <c r="M15" i="10" s="1"/>
  <c r="M7" i="10"/>
  <c r="C59" i="2"/>
  <c r="C60" i="2" s="1"/>
  <c r="C61" i="2" s="1"/>
  <c r="Q49" i="10"/>
  <c r="R5" i="10"/>
  <c r="R7" i="10" s="1"/>
  <c r="R16" i="10" s="1"/>
  <c r="B66" i="14"/>
  <c r="G22" i="4"/>
  <c r="H32" i="2"/>
  <c r="G44" i="4"/>
  <c r="H53" i="2"/>
  <c r="G28" i="4"/>
  <c r="H37" i="2"/>
  <c r="K41" i="2"/>
  <c r="B50" i="4"/>
  <c r="B17" i="4"/>
  <c r="G20" i="15"/>
  <c r="G19" i="4" s="1"/>
  <c r="F48" i="15"/>
  <c r="N13" i="1"/>
  <c r="B15" i="1"/>
  <c r="E66" i="14"/>
  <c r="E67" i="14" s="1"/>
  <c r="E65" i="14"/>
  <c r="B30" i="1"/>
  <c r="N30" i="1" s="1"/>
  <c r="E48" i="5"/>
  <c r="E50" i="5" s="1"/>
  <c r="E51" i="5" s="1"/>
  <c r="H42" i="2"/>
  <c r="G33" i="4"/>
  <c r="H12" i="4"/>
  <c r="H14" i="4" s="1"/>
  <c r="H16" i="4" s="1"/>
  <c r="H17" i="15"/>
  <c r="H17" i="5"/>
  <c r="G45" i="5"/>
  <c r="H32" i="12"/>
  <c r="I11" i="12" s="1"/>
  <c r="I32" i="12" s="1"/>
  <c r="J11" i="12" s="1"/>
  <c r="E20" i="8"/>
  <c r="D56" i="2"/>
  <c r="D47" i="4" s="1"/>
  <c r="D46" i="4"/>
  <c r="E50" i="15"/>
  <c r="O13" i="8"/>
  <c r="C15" i="8"/>
  <c r="G27" i="4"/>
  <c r="H36" i="2"/>
  <c r="G20" i="4"/>
  <c r="H30" i="2"/>
  <c r="D65" i="14"/>
  <c r="G17" i="4"/>
  <c r="B14" i="6"/>
  <c r="F46" i="5"/>
  <c r="F47" i="5"/>
  <c r="G36" i="4"/>
  <c r="H44" i="2"/>
  <c r="C50" i="4"/>
  <c r="C17" i="4"/>
  <c r="F65" i="14"/>
  <c r="F66" i="14" s="1"/>
  <c r="F67" i="14" s="1"/>
  <c r="H31" i="15"/>
  <c r="G32" i="4"/>
  <c r="E11" i="4"/>
  <c r="E14" i="4" s="1"/>
  <c r="E16" i="4" s="1"/>
  <c r="E25" i="2"/>
  <c r="H38" i="2"/>
  <c r="G29" i="4"/>
  <c r="D11" i="4"/>
  <c r="D14" i="4" s="1"/>
  <c r="D16" i="4" s="1"/>
  <c r="D58" i="2"/>
  <c r="D25" i="2"/>
  <c r="J26" i="12"/>
  <c r="S46" i="10"/>
  <c r="I26" i="1"/>
  <c r="R48" i="10"/>
  <c r="L27" i="12"/>
  <c r="U47" i="10"/>
  <c r="V47" i="10" s="1"/>
  <c r="K27" i="1"/>
  <c r="B60" i="2"/>
  <c r="G49" i="2"/>
  <c r="F40" i="4"/>
  <c r="Q28" i="10"/>
  <c r="P27" i="10"/>
  <c r="O26" i="10"/>
  <c r="N25" i="10"/>
  <c r="G22" i="8"/>
  <c r="L25" i="10"/>
  <c r="L32" i="10" s="1"/>
  <c r="L33" i="10" s="1"/>
  <c r="M20" i="10" s="1"/>
  <c r="M22" i="10" s="1"/>
  <c r="G24" i="4"/>
  <c r="H34" i="2"/>
  <c r="F17" i="4"/>
  <c r="H40" i="2"/>
  <c r="G31" i="4"/>
  <c r="G25" i="4"/>
  <c r="H35" i="2"/>
  <c r="E41" i="4"/>
  <c r="F50" i="2"/>
  <c r="E55" i="2"/>
  <c r="E58" i="2" s="1"/>
  <c r="H29" i="2"/>
  <c r="O27" i="10"/>
  <c r="F22" i="8"/>
  <c r="P28" i="10"/>
  <c r="N26" i="10"/>
  <c r="M25" i="10"/>
  <c r="M32" i="10" s="1"/>
  <c r="E23" i="1"/>
  <c r="F23" i="12"/>
  <c r="W21" i="10"/>
  <c r="G45" i="4"/>
  <c r="H54" i="2"/>
  <c r="C26" i="8"/>
  <c r="G39" i="4"/>
  <c r="H48" i="2"/>
  <c r="J14" i="15"/>
  <c r="I15" i="15"/>
  <c r="G61" i="14"/>
  <c r="H33" i="14"/>
  <c r="G38" i="4"/>
  <c r="H46" i="2"/>
  <c r="G42" i="4"/>
  <c r="H51" i="2"/>
  <c r="I36" i="15"/>
  <c r="H40" i="15"/>
  <c r="H37" i="4"/>
  <c r="C15" i="12"/>
  <c r="O13" i="12"/>
  <c r="D48" i="5"/>
  <c r="D50" i="5" s="1"/>
  <c r="D51" i="5" s="1"/>
  <c r="G23" i="4"/>
  <c r="H33" i="2"/>
  <c r="C30" i="12"/>
  <c r="O30" i="12" s="1"/>
  <c r="G26" i="4"/>
  <c r="H47" i="2"/>
  <c r="H27" i="2"/>
  <c r="G21" i="4"/>
  <c r="H31" i="2"/>
  <c r="G43" i="4"/>
  <c r="H52" i="2"/>
  <c r="M16" i="10" l="1"/>
  <c r="N5" i="10" s="1"/>
  <c r="N7" i="10" s="1"/>
  <c r="N16" i="10" s="1"/>
  <c r="D48" i="4"/>
  <c r="D49" i="4" s="1"/>
  <c r="M33" i="10"/>
  <c r="N20" i="10" s="1"/>
  <c r="N22" i="10" s="1"/>
  <c r="W22" i="10" s="1"/>
  <c r="E59" i="2"/>
  <c r="E60" i="2" s="1"/>
  <c r="E61" i="2" s="1"/>
  <c r="H17" i="4"/>
  <c r="H43" i="4"/>
  <c r="I52" i="2"/>
  <c r="H23" i="4"/>
  <c r="I33" i="2"/>
  <c r="H21" i="4"/>
  <c r="I31" i="2"/>
  <c r="H39" i="4"/>
  <c r="I48" i="2"/>
  <c r="E18" i="12"/>
  <c r="E30" i="12" s="1"/>
  <c r="M48" i="10"/>
  <c r="E18" i="8"/>
  <c r="E26" i="8" s="1"/>
  <c r="D18" i="1"/>
  <c r="D30" i="1" s="1"/>
  <c r="F41" i="4"/>
  <c r="G50" i="2"/>
  <c r="H26" i="4"/>
  <c r="I47" i="2"/>
  <c r="H38" i="4"/>
  <c r="I46" i="2"/>
  <c r="I29" i="2"/>
  <c r="F48" i="5"/>
  <c r="F50" i="5" s="1"/>
  <c r="F51" i="5" s="1"/>
  <c r="D66" i="14"/>
  <c r="D67" i="14" s="1"/>
  <c r="H18" i="15"/>
  <c r="B51" i="4"/>
  <c r="B52" i="4" s="1"/>
  <c r="B53" i="4" s="1"/>
  <c r="H28" i="4"/>
  <c r="I37" i="2"/>
  <c r="E13" i="12"/>
  <c r="E15" i="12" s="1"/>
  <c r="E31" i="12" s="1"/>
  <c r="M34" i="10"/>
  <c r="E13" i="8"/>
  <c r="E15" i="8" s="1"/>
  <c r="D13" i="1"/>
  <c r="D15" i="1" s="1"/>
  <c r="D31" i="1" s="1"/>
  <c r="I40" i="15"/>
  <c r="J36" i="15"/>
  <c r="I37" i="4"/>
  <c r="I17" i="15"/>
  <c r="I12" i="4"/>
  <c r="I14" i="4" s="1"/>
  <c r="I16" i="4" s="1"/>
  <c r="B61" i="2"/>
  <c r="J18" i="12"/>
  <c r="J30" i="12" s="1"/>
  <c r="J31" i="12" s="1"/>
  <c r="J32" i="12" s="1"/>
  <c r="K11" i="12" s="1"/>
  <c r="I18" i="1"/>
  <c r="I30" i="1" s="1"/>
  <c r="I31" i="1" s="1"/>
  <c r="I32" i="1" s="1"/>
  <c r="J11" i="1" s="1"/>
  <c r="E17" i="4"/>
  <c r="H36" i="4"/>
  <c r="I44" i="2"/>
  <c r="H27" i="4"/>
  <c r="I36" i="2"/>
  <c r="E53" i="15"/>
  <c r="E54" i="15" s="1"/>
  <c r="E51" i="15"/>
  <c r="F49" i="15"/>
  <c r="F50" i="15"/>
  <c r="B67" i="14"/>
  <c r="F13" i="12"/>
  <c r="F15" i="12" s="1"/>
  <c r="F13" i="8"/>
  <c r="F15" i="8" s="1"/>
  <c r="E13" i="1"/>
  <c r="E15" i="1" s="1"/>
  <c r="N11" i="4"/>
  <c r="I54" i="2"/>
  <c r="H45" i="4"/>
  <c r="H31" i="4"/>
  <c r="I40" i="2"/>
  <c r="I27" i="2"/>
  <c r="C31" i="12"/>
  <c r="C32" i="12" s="1"/>
  <c r="D11" i="12" s="1"/>
  <c r="I51" i="2"/>
  <c r="H42" i="4"/>
  <c r="H61" i="14"/>
  <c r="I33" i="14"/>
  <c r="K14" i="15"/>
  <c r="J15" i="15"/>
  <c r="F55" i="2"/>
  <c r="F20" i="8"/>
  <c r="E46" i="4"/>
  <c r="E56" i="2"/>
  <c r="E47" i="4" s="1"/>
  <c r="H25" i="4"/>
  <c r="I35" i="2"/>
  <c r="N32" i="10"/>
  <c r="D60" i="2"/>
  <c r="D61" i="2" s="1"/>
  <c r="D59" i="2"/>
  <c r="H29" i="4"/>
  <c r="I38" i="2"/>
  <c r="C61" i="6"/>
  <c r="B15" i="6"/>
  <c r="G46" i="5"/>
  <c r="G47" i="5"/>
  <c r="G48" i="15"/>
  <c r="H20" i="15"/>
  <c r="H19" i="4" s="1"/>
  <c r="L41" i="2"/>
  <c r="R49" i="10"/>
  <c r="S5" i="10"/>
  <c r="S7" i="10" s="1"/>
  <c r="S16" i="10" s="1"/>
  <c r="G62" i="14"/>
  <c r="G64" i="14"/>
  <c r="H24" i="4"/>
  <c r="I34" i="2"/>
  <c r="D18" i="12"/>
  <c r="D18" i="8"/>
  <c r="C18" i="1"/>
  <c r="L34" i="10"/>
  <c r="G40" i="4"/>
  <c r="H49" i="2"/>
  <c r="K26" i="12"/>
  <c r="T46" i="10"/>
  <c r="J26" i="1"/>
  <c r="S48" i="10"/>
  <c r="D50" i="4"/>
  <c r="D17" i="4"/>
  <c r="I31" i="15"/>
  <c r="H32" i="4"/>
  <c r="C51" i="4"/>
  <c r="C52" i="4"/>
  <c r="C53" i="4" s="1"/>
  <c r="H20" i="4"/>
  <c r="I30" i="2"/>
  <c r="C27" i="8"/>
  <c r="C28" i="8" s="1"/>
  <c r="D11" i="8" s="1"/>
  <c r="H45" i="5"/>
  <c r="I17" i="5"/>
  <c r="I42" i="2"/>
  <c r="H33" i="4"/>
  <c r="B31" i="1"/>
  <c r="B32" i="1" s="1"/>
  <c r="C11" i="1" s="1"/>
  <c r="H44" i="4"/>
  <c r="I53" i="2"/>
  <c r="H22" i="4"/>
  <c r="I32" i="2"/>
  <c r="H30" i="4"/>
  <c r="I39" i="2"/>
  <c r="E27" i="8" l="1"/>
  <c r="I33" i="4"/>
  <c r="J42" i="2"/>
  <c r="L26" i="12"/>
  <c r="U46" i="10"/>
  <c r="K26" i="1"/>
  <c r="T48" i="10"/>
  <c r="D30" i="12"/>
  <c r="D31" i="12" s="1"/>
  <c r="D32" i="12" s="1"/>
  <c r="E11" i="12" s="1"/>
  <c r="E32" i="12" s="1"/>
  <c r="G65" i="14"/>
  <c r="M41" i="2"/>
  <c r="N41" i="2"/>
  <c r="B42" i="6" s="1"/>
  <c r="G49" i="15"/>
  <c r="G50" i="15"/>
  <c r="F18" i="12"/>
  <c r="F30" i="12" s="1"/>
  <c r="N48" i="10"/>
  <c r="F18" i="8"/>
  <c r="F26" i="8" s="1"/>
  <c r="E18" i="1"/>
  <c r="E30" i="1" s="1"/>
  <c r="E48" i="4"/>
  <c r="J17" i="15"/>
  <c r="J12" i="4"/>
  <c r="J14" i="4" s="1"/>
  <c r="J16" i="4" s="1"/>
  <c r="J27" i="2"/>
  <c r="F27" i="8"/>
  <c r="F53" i="15"/>
  <c r="F54" i="15" s="1"/>
  <c r="F51" i="15"/>
  <c r="I17" i="4"/>
  <c r="I22" i="4"/>
  <c r="J32" i="2"/>
  <c r="D51" i="4"/>
  <c r="D52" i="4" s="1"/>
  <c r="D53" i="4" s="1"/>
  <c r="I24" i="4"/>
  <c r="J34" i="2"/>
  <c r="G48" i="5"/>
  <c r="G50" i="5" s="1"/>
  <c r="G51" i="5" s="1"/>
  <c r="I25" i="4"/>
  <c r="J35" i="2"/>
  <c r="L14" i="15"/>
  <c r="K15" i="15"/>
  <c r="I42" i="4"/>
  <c r="J51" i="2"/>
  <c r="P11" i="4"/>
  <c r="F31" i="12"/>
  <c r="F32" i="12" s="1"/>
  <c r="F34" i="12" s="1"/>
  <c r="I27" i="4"/>
  <c r="J36" i="2"/>
  <c r="I18" i="15"/>
  <c r="J29" i="2"/>
  <c r="G41" i="4"/>
  <c r="H50" i="2"/>
  <c r="H55" i="2" s="1"/>
  <c r="G55" i="2"/>
  <c r="I39" i="4"/>
  <c r="J48" i="2"/>
  <c r="I23" i="4"/>
  <c r="J33" i="2"/>
  <c r="I45" i="5"/>
  <c r="J17" i="5"/>
  <c r="I20" i="4"/>
  <c r="J30" i="2"/>
  <c r="K18" i="12"/>
  <c r="K30" i="12" s="1"/>
  <c r="K31" i="12" s="1"/>
  <c r="K32" i="12" s="1"/>
  <c r="L11" i="12" s="1"/>
  <c r="J18" i="1"/>
  <c r="J30" i="1" s="1"/>
  <c r="J31" i="1" s="1"/>
  <c r="J32" i="1" s="1"/>
  <c r="K11" i="1" s="1"/>
  <c r="C30" i="1"/>
  <c r="C31" i="1" s="1"/>
  <c r="C32" i="1" s="1"/>
  <c r="D11" i="1" s="1"/>
  <c r="D32" i="1" s="1"/>
  <c r="N18" i="1"/>
  <c r="S49" i="10"/>
  <c r="T5" i="10"/>
  <c r="T7" i="10" s="1"/>
  <c r="T16" i="10" s="1"/>
  <c r="G20" i="8"/>
  <c r="F46" i="4"/>
  <c r="F56" i="2"/>
  <c r="F47" i="4" s="1"/>
  <c r="F58" i="2"/>
  <c r="I61" i="14"/>
  <c r="J33" i="14"/>
  <c r="I31" i="4"/>
  <c r="J40" i="2"/>
  <c r="E31" i="1"/>
  <c r="E32" i="1" s="1"/>
  <c r="E34" i="1" s="1"/>
  <c r="I26" i="4"/>
  <c r="J47" i="2"/>
  <c r="I30" i="4"/>
  <c r="J39" i="2"/>
  <c r="I44" i="4"/>
  <c r="J53" i="2"/>
  <c r="H46" i="5"/>
  <c r="H47" i="5"/>
  <c r="J31" i="15"/>
  <c r="I32" i="4"/>
  <c r="H40" i="4"/>
  <c r="I49" i="2"/>
  <c r="D26" i="8"/>
  <c r="O18" i="8"/>
  <c r="I20" i="15"/>
  <c r="I19" i="4" s="1"/>
  <c r="H48" i="15"/>
  <c r="I29" i="4"/>
  <c r="J38" i="2"/>
  <c r="H62" i="14"/>
  <c r="H64" i="14"/>
  <c r="I45" i="4"/>
  <c r="J54" i="2"/>
  <c r="N34" i="10"/>
  <c r="I36" i="4"/>
  <c r="J44" i="2"/>
  <c r="J40" i="15"/>
  <c r="K36" i="15"/>
  <c r="J37" i="4"/>
  <c r="I28" i="4"/>
  <c r="J37" i="2"/>
  <c r="I38" i="4"/>
  <c r="J46" i="2"/>
  <c r="I21" i="4"/>
  <c r="J31" i="2"/>
  <c r="I43" i="4"/>
  <c r="J52" i="2"/>
  <c r="N33" i="10"/>
  <c r="O18" i="12" l="1"/>
  <c r="I20" i="8"/>
  <c r="H56" i="2"/>
  <c r="H47" i="4" s="1"/>
  <c r="H46" i="4"/>
  <c r="H58" i="2"/>
  <c r="K40" i="15"/>
  <c r="L36" i="15"/>
  <c r="K37" i="4"/>
  <c r="K44" i="2"/>
  <c r="J36" i="4"/>
  <c r="K38" i="2"/>
  <c r="J29" i="4"/>
  <c r="I62" i="14"/>
  <c r="I64" i="14"/>
  <c r="D27" i="8"/>
  <c r="D28" i="8" s="1"/>
  <c r="E11" i="8" s="1"/>
  <c r="E28" i="8" s="1"/>
  <c r="F11" i="8" s="1"/>
  <c r="F28" i="8" s="1"/>
  <c r="G11" i="8" s="1"/>
  <c r="G28" i="8" s="1"/>
  <c r="H11" i="8" s="1"/>
  <c r="H28" i="8" s="1"/>
  <c r="I11" i="8" s="1"/>
  <c r="I28" i="8" s="1"/>
  <c r="J11" i="8" s="1"/>
  <c r="J28" i="8" s="1"/>
  <c r="K11" i="8" s="1"/>
  <c r="K28" i="8" s="1"/>
  <c r="L11" i="8" s="1"/>
  <c r="L28" i="8" s="1"/>
  <c r="M11" i="8" s="1"/>
  <c r="M28" i="8" s="1"/>
  <c r="N11" i="8" s="1"/>
  <c r="N28" i="8" s="1"/>
  <c r="O26" i="8"/>
  <c r="K31" i="15"/>
  <c r="J32" i="4"/>
  <c r="F59" i="2"/>
  <c r="J20" i="4"/>
  <c r="K30" i="2"/>
  <c r="K29" i="2"/>
  <c r="K12" i="4"/>
  <c r="K14" i="4" s="1"/>
  <c r="K16" i="4" s="1"/>
  <c r="K17" i="15"/>
  <c r="J18" i="15"/>
  <c r="H49" i="15"/>
  <c r="H50" i="15"/>
  <c r="I40" i="4"/>
  <c r="J49" i="2"/>
  <c r="J30" i="4"/>
  <c r="K39" i="2"/>
  <c r="K33" i="2"/>
  <c r="J23" i="4"/>
  <c r="H20" i="8"/>
  <c r="G46" i="4"/>
  <c r="G56" i="2"/>
  <c r="G47" i="4" s="1"/>
  <c r="G58" i="2"/>
  <c r="K36" i="2"/>
  <c r="J27" i="4"/>
  <c r="M14" i="15"/>
  <c r="M15" i="15" s="1"/>
  <c r="L15" i="15"/>
  <c r="J22" i="4"/>
  <c r="K32" i="2"/>
  <c r="K27" i="2"/>
  <c r="L18" i="12"/>
  <c r="L30" i="12" s="1"/>
  <c r="L31" i="12" s="1"/>
  <c r="L32" i="12" s="1"/>
  <c r="M11" i="12" s="1"/>
  <c r="K18" i="1"/>
  <c r="K30" i="1" s="1"/>
  <c r="K31" i="1" s="1"/>
  <c r="K32" i="1" s="1"/>
  <c r="L11" i="1" s="1"/>
  <c r="K42" i="2"/>
  <c r="J33" i="4"/>
  <c r="H65" i="14"/>
  <c r="H66" i="14" s="1"/>
  <c r="H67" i="14" s="1"/>
  <c r="H50" i="5"/>
  <c r="H51" i="5" s="1"/>
  <c r="H48" i="5"/>
  <c r="J28" i="4"/>
  <c r="K37" i="2"/>
  <c r="I48" i="15"/>
  <c r="J20" i="15"/>
  <c r="J61" i="14"/>
  <c r="K33" i="14"/>
  <c r="U5" i="10"/>
  <c r="U7" i="10" s="1"/>
  <c r="U16" i="10" s="1"/>
  <c r="T49" i="10"/>
  <c r="J45" i="5"/>
  <c r="K17" i="5"/>
  <c r="I50" i="2"/>
  <c r="H41" i="4"/>
  <c r="J42" i="4"/>
  <c r="K51" i="2"/>
  <c r="I55" i="2"/>
  <c r="E49" i="4"/>
  <c r="E50" i="4"/>
  <c r="G66" i="14"/>
  <c r="F48" i="4"/>
  <c r="K31" i="2"/>
  <c r="J21" i="4"/>
  <c r="J43" i="4"/>
  <c r="K52" i="2"/>
  <c r="K46" i="2"/>
  <c r="J38" i="4"/>
  <c r="J45" i="4"/>
  <c r="K54" i="2"/>
  <c r="J44" i="4"/>
  <c r="K53" i="2"/>
  <c r="J26" i="4"/>
  <c r="K47" i="2"/>
  <c r="K40" i="2"/>
  <c r="J31" i="4"/>
  <c r="I46" i="5"/>
  <c r="I47" i="5"/>
  <c r="K48" i="2"/>
  <c r="J39" i="4"/>
  <c r="K35" i="2"/>
  <c r="J25" i="4"/>
  <c r="J24" i="4"/>
  <c r="K34" i="2"/>
  <c r="J17" i="4"/>
  <c r="G53" i="15"/>
  <c r="G54" i="15" s="1"/>
  <c r="G51" i="15"/>
  <c r="M26" i="12"/>
  <c r="V46" i="10"/>
  <c r="L26" i="1"/>
  <c r="U48" i="10"/>
  <c r="N14" i="15" l="1"/>
  <c r="N15" i="15" s="1"/>
  <c r="H48" i="4"/>
  <c r="G48" i="4"/>
  <c r="G50" i="4" s="1"/>
  <c r="G49" i="4"/>
  <c r="H49" i="4"/>
  <c r="H50" i="4"/>
  <c r="M18" i="12"/>
  <c r="M30" i="12" s="1"/>
  <c r="M31" i="12" s="1"/>
  <c r="M32" i="12" s="1"/>
  <c r="N11" i="12" s="1"/>
  <c r="L18" i="1"/>
  <c r="L30" i="1" s="1"/>
  <c r="L31" i="1" s="1"/>
  <c r="K25" i="4"/>
  <c r="L35" i="2"/>
  <c r="N26" i="12"/>
  <c r="M26" i="1"/>
  <c r="V48" i="10"/>
  <c r="K39" i="4"/>
  <c r="L48" i="2"/>
  <c r="L40" i="2"/>
  <c r="K31" i="4"/>
  <c r="J62" i="14"/>
  <c r="J64" i="14"/>
  <c r="K17" i="4"/>
  <c r="I65" i="14"/>
  <c r="I66" i="14" s="1"/>
  <c r="I67" i="14" s="1"/>
  <c r="H59" i="2"/>
  <c r="H60" i="2" s="1"/>
  <c r="H61" i="2" s="1"/>
  <c r="I48" i="5"/>
  <c r="I50" i="5" s="1"/>
  <c r="I51" i="5" s="1"/>
  <c r="K26" i="4"/>
  <c r="L47" i="2"/>
  <c r="K38" i="4"/>
  <c r="L46" i="2"/>
  <c r="K21" i="4"/>
  <c r="L31" i="2"/>
  <c r="J48" i="15"/>
  <c r="K20" i="15"/>
  <c r="J40" i="4"/>
  <c r="K49" i="2"/>
  <c r="J19" i="4"/>
  <c r="L31" i="15"/>
  <c r="K32" i="4"/>
  <c r="K36" i="4"/>
  <c r="L44" i="2"/>
  <c r="K45" i="4"/>
  <c r="L54" i="2"/>
  <c r="K43" i="4"/>
  <c r="L52" i="2"/>
  <c r="J20" i="8"/>
  <c r="I46" i="4"/>
  <c r="I56" i="2"/>
  <c r="I47" i="4" s="1"/>
  <c r="I58" i="2"/>
  <c r="I41" i="4"/>
  <c r="J50" i="2"/>
  <c r="I49" i="15"/>
  <c r="I50" i="15"/>
  <c r="L42" i="2"/>
  <c r="K33" i="4"/>
  <c r="E11" i="6"/>
  <c r="E12" i="6" s="1"/>
  <c r="N17" i="15"/>
  <c r="K30" i="4"/>
  <c r="L39" i="2"/>
  <c r="K19" i="4"/>
  <c r="L29" i="2"/>
  <c r="F49" i="4"/>
  <c r="F50" i="4"/>
  <c r="U49" i="10"/>
  <c r="V5" i="10"/>
  <c r="V7" i="10" s="1"/>
  <c r="V16" i="10" s="1"/>
  <c r="V49" i="10" s="1"/>
  <c r="K27" i="4"/>
  <c r="L36" i="2"/>
  <c r="L32" i="1"/>
  <c r="M11" i="1" s="1"/>
  <c r="K24" i="4"/>
  <c r="L34" i="2"/>
  <c r="K44" i="4"/>
  <c r="L53" i="2"/>
  <c r="G67" i="14"/>
  <c r="K42" i="4"/>
  <c r="L51" i="2"/>
  <c r="L17" i="5"/>
  <c r="K45" i="5"/>
  <c r="K61" i="14"/>
  <c r="L33" i="14"/>
  <c r="K28" i="4"/>
  <c r="L37" i="2"/>
  <c r="L27" i="2"/>
  <c r="L12" i="4"/>
  <c r="L14" i="4" s="1"/>
  <c r="L16" i="4" s="1"/>
  <c r="L17" i="15"/>
  <c r="G60" i="2"/>
  <c r="G61" i="2" s="1"/>
  <c r="G59" i="2"/>
  <c r="H51" i="15"/>
  <c r="H53" i="15" s="1"/>
  <c r="H54" i="15" s="1"/>
  <c r="K18" i="15"/>
  <c r="K20" i="4"/>
  <c r="L30" i="2"/>
  <c r="F60" i="2"/>
  <c r="L38" i="2"/>
  <c r="K29" i="4"/>
  <c r="M36" i="15"/>
  <c r="L40" i="15"/>
  <c r="L37" i="4"/>
  <c r="E52" i="4"/>
  <c r="E53" i="4" s="1"/>
  <c r="E51" i="4"/>
  <c r="J46" i="5"/>
  <c r="J47" i="5"/>
  <c r="K22" i="4"/>
  <c r="L32" i="2"/>
  <c r="M12" i="4"/>
  <c r="M17" i="15"/>
  <c r="K23" i="4"/>
  <c r="L33" i="2"/>
  <c r="I48" i="4" l="1"/>
  <c r="I49" i="4" s="1"/>
  <c r="I50" i="4"/>
  <c r="M14" i="4"/>
  <c r="M16" i="4" s="1"/>
  <c r="N12" i="4"/>
  <c r="K62" i="14"/>
  <c r="K64" i="14"/>
  <c r="L23" i="4"/>
  <c r="M33" i="2"/>
  <c r="L22" i="4"/>
  <c r="M32" i="2"/>
  <c r="M40" i="15"/>
  <c r="N40" i="15" s="1"/>
  <c r="E51" i="6" s="1"/>
  <c r="M37" i="4"/>
  <c r="N37" i="4" s="1"/>
  <c r="P37" i="4" s="1"/>
  <c r="N36" i="15"/>
  <c r="E49" i="6" s="1"/>
  <c r="L20" i="4"/>
  <c r="M30" i="2"/>
  <c r="L18" i="15"/>
  <c r="L28" i="4"/>
  <c r="M37" i="2"/>
  <c r="K46" i="5"/>
  <c r="K47" i="5"/>
  <c r="L24" i="4"/>
  <c r="M34" i="2"/>
  <c r="L27" i="4"/>
  <c r="M36" i="2"/>
  <c r="F52" i="4"/>
  <c r="F53" i="4" s="1"/>
  <c r="F51" i="4"/>
  <c r="L30" i="4"/>
  <c r="M39" i="2"/>
  <c r="K40" i="4"/>
  <c r="L49" i="2"/>
  <c r="J49" i="15"/>
  <c r="J50" i="15"/>
  <c r="L25" i="4"/>
  <c r="M35" i="2"/>
  <c r="H51" i="4"/>
  <c r="H52" i="4" s="1"/>
  <c r="H53" i="4" s="1"/>
  <c r="G51" i="4"/>
  <c r="G52" i="4" s="1"/>
  <c r="G53" i="4" s="1"/>
  <c r="L17" i="4"/>
  <c r="L45" i="5"/>
  <c r="M17" i="5"/>
  <c r="J41" i="4"/>
  <c r="K50" i="2"/>
  <c r="J55" i="2"/>
  <c r="L45" i="4"/>
  <c r="M54" i="2"/>
  <c r="L21" i="4"/>
  <c r="M31" i="2"/>
  <c r="L26" i="4"/>
  <c r="M47" i="2"/>
  <c r="N18" i="12"/>
  <c r="N30" i="12" s="1"/>
  <c r="N31" i="12" s="1"/>
  <c r="N32" i="12" s="1"/>
  <c r="M18" i="1"/>
  <c r="M30" i="1" s="1"/>
  <c r="M31" i="1" s="1"/>
  <c r="M32" i="1" s="1"/>
  <c r="M18" i="15"/>
  <c r="J48" i="5"/>
  <c r="J50" i="5" s="1"/>
  <c r="J51" i="5" s="1"/>
  <c r="L29" i="4"/>
  <c r="M38" i="2"/>
  <c r="M27" i="2"/>
  <c r="L61" i="14"/>
  <c r="M33" i="14"/>
  <c r="L42" i="4"/>
  <c r="M51" i="2"/>
  <c r="M53" i="2"/>
  <c r="L44" i="4"/>
  <c r="M29" i="2"/>
  <c r="N18" i="15"/>
  <c r="M42" i="2"/>
  <c r="L33" i="4"/>
  <c r="M31" i="15"/>
  <c r="L32" i="4"/>
  <c r="L31" i="4"/>
  <c r="M40" i="2"/>
  <c r="F61" i="2"/>
  <c r="E14" i="6"/>
  <c r="H12" i="6"/>
  <c r="H14" i="6" s="1"/>
  <c r="I51" i="15"/>
  <c r="I53" i="15" s="1"/>
  <c r="I54" i="15" s="1"/>
  <c r="I59" i="2"/>
  <c r="I60" i="2" s="1"/>
  <c r="M52" i="2"/>
  <c r="L43" i="4"/>
  <c r="L36" i="4"/>
  <c r="M44" i="2"/>
  <c r="K48" i="15"/>
  <c r="L20" i="15"/>
  <c r="L19" i="4" s="1"/>
  <c r="L38" i="4"/>
  <c r="M46" i="2"/>
  <c r="J65" i="14"/>
  <c r="J66" i="14" s="1"/>
  <c r="L39" i="4"/>
  <c r="M48" i="2"/>
  <c r="E54" i="6" l="1"/>
  <c r="J67" i="14"/>
  <c r="I61" i="2"/>
  <c r="F61" i="6"/>
  <c r="E15" i="6"/>
  <c r="F25" i="6"/>
  <c r="F21" i="6"/>
  <c r="M44" i="4"/>
  <c r="N44" i="4" s="1"/>
  <c r="P44" i="4" s="1"/>
  <c r="H44" i="6" s="1"/>
  <c r="N53" i="2"/>
  <c r="B44" i="6" s="1"/>
  <c r="K49" i="15"/>
  <c r="K50" i="15"/>
  <c r="M33" i="4"/>
  <c r="N33" i="4" s="1"/>
  <c r="P33" i="4" s="1"/>
  <c r="H43" i="6" s="1"/>
  <c r="N42" i="2"/>
  <c r="B43" i="6" s="1"/>
  <c r="M42" i="4"/>
  <c r="N42" i="4" s="1"/>
  <c r="P42" i="4" s="1"/>
  <c r="H46" i="6" s="1"/>
  <c r="N51" i="2"/>
  <c r="B46" i="6" s="1"/>
  <c r="N27" i="2"/>
  <c r="M21" i="4"/>
  <c r="N21" i="4" s="1"/>
  <c r="P21" i="4" s="1"/>
  <c r="H35" i="6" s="1"/>
  <c r="N31" i="2"/>
  <c r="B35" i="6" s="1"/>
  <c r="K20" i="8"/>
  <c r="J46" i="4"/>
  <c r="J56" i="2"/>
  <c r="J47" i="4" s="1"/>
  <c r="J58" i="2"/>
  <c r="L46" i="5"/>
  <c r="L47" i="5"/>
  <c r="M49" i="2"/>
  <c r="L40" i="4"/>
  <c r="M24" i="4"/>
  <c r="N24" i="4" s="1"/>
  <c r="P24" i="4" s="1"/>
  <c r="H37" i="6" s="1"/>
  <c r="N34" i="2"/>
  <c r="B37" i="6" s="1"/>
  <c r="M28" i="4"/>
  <c r="N28" i="4" s="1"/>
  <c r="P28" i="4" s="1"/>
  <c r="H39" i="6" s="1"/>
  <c r="N37" i="2"/>
  <c r="B39" i="6" s="1"/>
  <c r="M20" i="4"/>
  <c r="N20" i="4" s="1"/>
  <c r="P20" i="4" s="1"/>
  <c r="H28" i="6" s="1"/>
  <c r="N30" i="2"/>
  <c r="B28" i="6" s="1"/>
  <c r="M17" i="4"/>
  <c r="M39" i="4"/>
  <c r="N39" i="4" s="1"/>
  <c r="P39" i="4" s="1"/>
  <c r="H50" i="6" s="1"/>
  <c r="N48" i="2"/>
  <c r="B50" i="6" s="1"/>
  <c r="M38" i="4"/>
  <c r="N38" i="4" s="1"/>
  <c r="P38" i="4" s="1"/>
  <c r="H49" i="6" s="1"/>
  <c r="N46" i="2"/>
  <c r="B49" i="6" s="1"/>
  <c r="K41" i="4"/>
  <c r="L50" i="2"/>
  <c r="K55" i="2"/>
  <c r="J51" i="15"/>
  <c r="J53" i="15" s="1"/>
  <c r="J54" i="15" s="1"/>
  <c r="M22" i="4"/>
  <c r="N22" i="4" s="1"/>
  <c r="P22" i="4" s="1"/>
  <c r="H18" i="6" s="1"/>
  <c r="N32" i="2"/>
  <c r="B18" i="6" s="1"/>
  <c r="K65" i="14"/>
  <c r="K66" i="14" s="1"/>
  <c r="M43" i="4"/>
  <c r="N43" i="4" s="1"/>
  <c r="P43" i="4" s="1"/>
  <c r="H53" i="6" s="1"/>
  <c r="N52" i="2"/>
  <c r="B53" i="6" s="1"/>
  <c r="M36" i="4"/>
  <c r="N36" i="4" s="1"/>
  <c r="P36" i="4" s="1"/>
  <c r="H24" i="6" s="1"/>
  <c r="H25" i="6" s="1"/>
  <c r="I25" i="6" s="1"/>
  <c r="N44" i="2"/>
  <c r="B24" i="6" s="1"/>
  <c r="B25" i="6" s="1"/>
  <c r="C25" i="6" s="1"/>
  <c r="H15" i="6"/>
  <c r="I61" i="6"/>
  <c r="N31" i="15"/>
  <c r="E42" i="6" s="1"/>
  <c r="E47" i="6" s="1"/>
  <c r="F47" i="6" s="1"/>
  <c r="M32" i="4"/>
  <c r="N32" i="4" s="1"/>
  <c r="P32" i="4" s="1"/>
  <c r="H42" i="6" s="1"/>
  <c r="M61" i="14"/>
  <c r="N33" i="14"/>
  <c r="N61" i="14" s="1"/>
  <c r="N62" i="14" s="1"/>
  <c r="M29" i="4"/>
  <c r="N29" i="4" s="1"/>
  <c r="P29" i="4" s="1"/>
  <c r="H20" i="6" s="1"/>
  <c r="N38" i="2"/>
  <c r="B20" i="6" s="1"/>
  <c r="M26" i="4"/>
  <c r="N26" i="4" s="1"/>
  <c r="P26" i="4" s="1"/>
  <c r="H29" i="6" s="1"/>
  <c r="N47" i="2"/>
  <c r="B29" i="6" s="1"/>
  <c r="M45" i="4"/>
  <c r="N45" i="4" s="1"/>
  <c r="P45" i="4" s="1"/>
  <c r="H45" i="6" s="1"/>
  <c r="N54" i="2"/>
  <c r="B45" i="6" s="1"/>
  <c r="M30" i="4"/>
  <c r="N30" i="4" s="1"/>
  <c r="P30" i="4" s="1"/>
  <c r="H40" i="6" s="1"/>
  <c r="N39" i="2"/>
  <c r="B40" i="6" s="1"/>
  <c r="M27" i="4"/>
  <c r="N27" i="4" s="1"/>
  <c r="P27" i="4" s="1"/>
  <c r="H19" i="6" s="1"/>
  <c r="N36" i="2"/>
  <c r="B19" i="6" s="1"/>
  <c r="K48" i="5"/>
  <c r="K50" i="5" s="1"/>
  <c r="K51" i="5" s="1"/>
  <c r="F54" i="6"/>
  <c r="I51" i="4"/>
  <c r="I52" i="4" s="1"/>
  <c r="I53" i="4" s="1"/>
  <c r="M20" i="15"/>
  <c r="L48" i="15"/>
  <c r="M31" i="4"/>
  <c r="N31" i="4" s="1"/>
  <c r="P31" i="4" s="1"/>
  <c r="H41" i="6" s="1"/>
  <c r="N40" i="2"/>
  <c r="B41" i="6" s="1"/>
  <c r="M19" i="4"/>
  <c r="N29" i="2"/>
  <c r="B27" i="6" s="1"/>
  <c r="L62" i="14"/>
  <c r="L64" i="14"/>
  <c r="M45" i="5"/>
  <c r="N17" i="5"/>
  <c r="N45" i="5" s="1"/>
  <c r="M25" i="4"/>
  <c r="N25" i="4" s="1"/>
  <c r="P25" i="4" s="1"/>
  <c r="H38" i="6" s="1"/>
  <c r="N35" i="2"/>
  <c r="B38" i="6" s="1"/>
  <c r="M23" i="4"/>
  <c r="N23" i="4" s="1"/>
  <c r="P23" i="4" s="1"/>
  <c r="H36" i="6" s="1"/>
  <c r="N33" i="2"/>
  <c r="B36" i="6" s="1"/>
  <c r="P12" i="4"/>
  <c r="N14" i="4"/>
  <c r="B21" i="6" l="1"/>
  <c r="K67" i="14"/>
  <c r="L20" i="8"/>
  <c r="K46" i="4"/>
  <c r="K48" i="4" s="1"/>
  <c r="K56" i="2"/>
  <c r="K47" i="4" s="1"/>
  <c r="K58" i="2"/>
  <c r="M40" i="4"/>
  <c r="N40" i="4" s="1"/>
  <c r="P40" i="4" s="1"/>
  <c r="H51" i="6" s="1"/>
  <c r="N49" i="2"/>
  <c r="B51" i="6" s="1"/>
  <c r="H21" i="6"/>
  <c r="L41" i="4"/>
  <c r="M50" i="2"/>
  <c r="L55" i="2"/>
  <c r="L48" i="5"/>
  <c r="L50" i="5" s="1"/>
  <c r="L51" i="5" s="1"/>
  <c r="J48" i="4"/>
  <c r="N46" i="5"/>
  <c r="N47" i="5"/>
  <c r="L49" i="15"/>
  <c r="L50" i="15"/>
  <c r="M55" i="2"/>
  <c r="P14" i="4"/>
  <c r="H11" i="6" s="1"/>
  <c r="N16" i="4"/>
  <c r="M46" i="5"/>
  <c r="M47" i="5"/>
  <c r="N19" i="4"/>
  <c r="M48" i="15"/>
  <c r="N20" i="15"/>
  <c r="J59" i="2"/>
  <c r="J60" i="2" s="1"/>
  <c r="B47" i="6"/>
  <c r="C47" i="6" s="1"/>
  <c r="K51" i="15"/>
  <c r="K53" i="15" s="1"/>
  <c r="K54" i="15" s="1"/>
  <c r="L65" i="14"/>
  <c r="L66" i="14" s="1"/>
  <c r="M62" i="14"/>
  <c r="M64" i="14"/>
  <c r="C21" i="6"/>
  <c r="H47" i="6"/>
  <c r="I47" i="6" s="1"/>
  <c r="L67" i="14" l="1"/>
  <c r="J61" i="2"/>
  <c r="N48" i="15"/>
  <c r="E27" i="6"/>
  <c r="E33" i="6" s="1"/>
  <c r="M48" i="5"/>
  <c r="N48" i="5" s="1"/>
  <c r="N50" i="5" s="1"/>
  <c r="N51" i="5" s="1"/>
  <c r="N20" i="8"/>
  <c r="M46" i="4"/>
  <c r="M56" i="2"/>
  <c r="M47" i="4" s="1"/>
  <c r="M58" i="2"/>
  <c r="J49" i="4"/>
  <c r="J50" i="4"/>
  <c r="M41" i="4"/>
  <c r="N50" i="2"/>
  <c r="K49" i="4"/>
  <c r="K50" i="4"/>
  <c r="K60" i="2"/>
  <c r="K61" i="2" s="1"/>
  <c r="K59" i="2"/>
  <c r="M49" i="15"/>
  <c r="M50" i="15"/>
  <c r="L51" i="15"/>
  <c r="L53" i="15" s="1"/>
  <c r="L54" i="15" s="1"/>
  <c r="M65" i="14"/>
  <c r="N65" i="14" s="1"/>
  <c r="N64" i="14"/>
  <c r="P19" i="4"/>
  <c r="N17" i="4"/>
  <c r="P16" i="4"/>
  <c r="I21" i="6"/>
  <c r="M20" i="8"/>
  <c r="L56" i="2"/>
  <c r="L47" i="4" s="1"/>
  <c r="L46" i="4"/>
  <c r="L58" i="2"/>
  <c r="N47" i="4" l="1"/>
  <c r="P47" i="4" s="1"/>
  <c r="H32" i="6" s="1"/>
  <c r="L48" i="4"/>
  <c r="L49" i="4"/>
  <c r="L50" i="4"/>
  <c r="N41" i="4"/>
  <c r="M48" i="4"/>
  <c r="P17" i="4"/>
  <c r="O20" i="8"/>
  <c r="N49" i="15"/>
  <c r="N50" i="15"/>
  <c r="L59" i="2"/>
  <c r="L60" i="2" s="1"/>
  <c r="L61" i="2" s="1"/>
  <c r="B52" i="6"/>
  <c r="B54" i="6" s="1"/>
  <c r="C54" i="6" s="1"/>
  <c r="N55" i="2"/>
  <c r="M59" i="2"/>
  <c r="M60" i="2"/>
  <c r="N58" i="2"/>
  <c r="M50" i="5"/>
  <c r="M51" i="5" s="1"/>
  <c r="H27" i="6"/>
  <c r="M66" i="14"/>
  <c r="M53" i="15"/>
  <c r="M54" i="15" s="1"/>
  <c r="M51" i="15"/>
  <c r="N51" i="15" s="1"/>
  <c r="K51" i="4"/>
  <c r="K52" i="4" s="1"/>
  <c r="K53" i="4" s="1"/>
  <c r="J51" i="4"/>
  <c r="J52" i="4" s="1"/>
  <c r="J53" i="4" s="1"/>
  <c r="N46" i="4"/>
  <c r="P46" i="4" s="1"/>
  <c r="H31" i="6" s="1"/>
  <c r="F33" i="6"/>
  <c r="E56" i="6"/>
  <c r="N53" i="15" l="1"/>
  <c r="N54" i="15" s="1"/>
  <c r="B31" i="6"/>
  <c r="B33" i="6" s="1"/>
  <c r="N56" i="2"/>
  <c r="B32" i="6" s="1"/>
  <c r="M67" i="14"/>
  <c r="N66" i="14"/>
  <c r="N67" i="14" s="1"/>
  <c r="M49" i="4"/>
  <c r="M50" i="4"/>
  <c r="F56" i="6"/>
  <c r="E58" i="6"/>
  <c r="M61" i="2"/>
  <c r="N60" i="2"/>
  <c r="N61" i="2" s="1"/>
  <c r="P41" i="4"/>
  <c r="N48" i="4"/>
  <c r="H33" i="6"/>
  <c r="N59" i="2"/>
  <c r="L51" i="4"/>
  <c r="L52" i="4" s="1"/>
  <c r="L53" i="4" s="1"/>
  <c r="I33" i="6" l="1"/>
  <c r="C33" i="6"/>
  <c r="B56" i="6"/>
  <c r="N49" i="4"/>
  <c r="N50" i="4"/>
  <c r="E63" i="6"/>
  <c r="F58" i="6"/>
  <c r="H52" i="6"/>
  <c r="H54" i="6" s="1"/>
  <c r="I54" i="6" s="1"/>
  <c r="P48" i="4"/>
  <c r="M51" i="4"/>
  <c r="M52" i="4" s="1"/>
  <c r="M53" i="4" s="1"/>
  <c r="B67" i="6" l="1"/>
  <c r="C56" i="6"/>
  <c r="B58" i="6"/>
  <c r="E65" i="6"/>
  <c r="F65" i="6" s="1"/>
  <c r="F63" i="6"/>
  <c r="P49" i="4"/>
  <c r="P50" i="4"/>
  <c r="N52" i="4"/>
  <c r="N53" i="4" s="1"/>
  <c r="N51" i="4"/>
  <c r="H56" i="6"/>
  <c r="P51" i="4" l="1"/>
  <c r="P52" i="4" s="1"/>
  <c r="P53" i="4" s="1"/>
  <c r="E66" i="6"/>
  <c r="F66" i="6" s="1"/>
  <c r="I56" i="6"/>
  <c r="H58" i="6"/>
  <c r="C58" i="6"/>
  <c r="B63" i="6"/>
  <c r="I58" i="6" l="1"/>
  <c r="H63" i="6"/>
  <c r="B65" i="6"/>
  <c r="C65" i="6" s="1"/>
  <c r="C63" i="6"/>
  <c r="H65" i="6" l="1"/>
  <c r="I65" i="6" s="1"/>
  <c r="I63" i="6"/>
  <c r="H66" i="6"/>
  <c r="I66" i="6" s="1"/>
  <c r="B66" i="6"/>
  <c r="C66" i="6" s="1"/>
  <c r="F24" i="17"/>
  <c r="F25" i="17" s="1"/>
  <c r="F43" i="17" s="1"/>
</calcChain>
</file>

<file path=xl/sharedStrings.xml><?xml version="1.0" encoding="utf-8"?>
<sst xmlns="http://schemas.openxmlformats.org/spreadsheetml/2006/main" count="904" uniqueCount="386">
  <si>
    <t>TOTAL</t>
  </si>
  <si>
    <t>Entertainment</t>
  </si>
  <si>
    <t>Legal fees</t>
  </si>
  <si>
    <t>MIA Maintenance</t>
  </si>
  <si>
    <t>Loan Interest</t>
  </si>
  <si>
    <t>Tenders/Marketing Expenses</t>
  </si>
  <si>
    <t>Media Management;</t>
  </si>
  <si>
    <t>Advertising commission    - Msafiri</t>
  </si>
  <si>
    <t>Media Planning  &amp; Other Media Intitatives</t>
  </si>
  <si>
    <t>Audio Visual Production</t>
  </si>
  <si>
    <t>Management Fees - OCK</t>
  </si>
  <si>
    <t>Overheads</t>
  </si>
  <si>
    <t>Bank charges, commissions &amp; interest</t>
  </si>
  <si>
    <t>Computer software consultancy</t>
  </si>
  <si>
    <t>Insurances</t>
  </si>
  <si>
    <t>Internet costs</t>
  </si>
  <si>
    <t xml:space="preserve">Licences </t>
  </si>
  <si>
    <t>Newspapers,  Periodicals &amp; Magazine Subscription</t>
  </si>
  <si>
    <t>Office teas &amp; other running costs</t>
  </si>
  <si>
    <t>Postage, courier &amp; deliveries</t>
  </si>
  <si>
    <t>Stationery &amp; computer consumables</t>
  </si>
  <si>
    <t>Rent &amp; service charge</t>
  </si>
  <si>
    <t>Repairs &amp; maintenance</t>
  </si>
  <si>
    <t>Salaries &amp; wages</t>
  </si>
  <si>
    <t>Staff pension / retirement scheme</t>
  </si>
  <si>
    <t>Staff medical cover (In &amp; Out Patient)</t>
  </si>
  <si>
    <t>Subscriptions (professional clubs)</t>
  </si>
  <si>
    <t>Staff training</t>
  </si>
  <si>
    <t>Telephones, mobiles &amp; scratch cards</t>
  </si>
  <si>
    <t>Transport, travel &amp; taxi hire</t>
  </si>
  <si>
    <t>Misc. - provision for un-budgeted expenses</t>
  </si>
  <si>
    <t>Total Overheads</t>
  </si>
  <si>
    <t>OUTDOOR CARE KENYA LIMITED</t>
  </si>
  <si>
    <t>JKIA Maintenance</t>
  </si>
  <si>
    <t>New Infrastructure Development at MIA and other projects</t>
  </si>
  <si>
    <t xml:space="preserve">Sales Commission </t>
  </si>
  <si>
    <t>Audit fees</t>
  </si>
  <si>
    <t>Newspapers &amp; periodicals</t>
  </si>
  <si>
    <t>Management fees</t>
  </si>
  <si>
    <t>Directors fees</t>
  </si>
  <si>
    <t>TOTAL REVENUE</t>
  </si>
  <si>
    <t>REVENUE</t>
  </si>
  <si>
    <t>GP%</t>
  </si>
  <si>
    <t xml:space="preserve">COST OF SALES </t>
  </si>
  <si>
    <t xml:space="preserve">TOTAL COST OF SALES </t>
  </si>
  <si>
    <t>PROFIT BEFORE TAX</t>
  </si>
  <si>
    <t>Tax Provision 30%</t>
  </si>
  <si>
    <t xml:space="preserve">NET PROFIT </t>
  </si>
  <si>
    <t>Advertising MIA Management - KAA Payment (70% of MIA)</t>
  </si>
  <si>
    <t>Advertising MIA Management - OCK Payment (12% of MIA)</t>
  </si>
  <si>
    <t>Media Planning  &amp; Other Media Intitatives (COS 80%)</t>
  </si>
  <si>
    <t>Audio Visual  Production (COS 40%)</t>
  </si>
  <si>
    <t>Audit Fees &amp; Accountancy</t>
  </si>
  <si>
    <t>Donations (CSR)</t>
  </si>
  <si>
    <t xml:space="preserve">JKIA Maintenance (OCS 20%) </t>
  </si>
  <si>
    <t xml:space="preserve">MIA Maintenance -( Average COS 60%) </t>
  </si>
  <si>
    <t>Legal fees / Consultancy</t>
  </si>
  <si>
    <t>Insurances (Office +WIBA+Emp Liab)</t>
  </si>
  <si>
    <t>MEDIA EDGE GROUP</t>
  </si>
  <si>
    <t>% of  Revenue</t>
  </si>
  <si>
    <t>KSHS</t>
  </si>
  <si>
    <t>EXPENSES</t>
  </si>
  <si>
    <t>Commercial Costs:</t>
  </si>
  <si>
    <t>Establishment Costs:</t>
  </si>
  <si>
    <t>Finance &amp; General Costs:</t>
  </si>
  <si>
    <t>Bank charges, commissions &amp; interest &amp; Loans</t>
  </si>
  <si>
    <t>Office Costs:</t>
  </si>
  <si>
    <t>Staff Costs:</t>
  </si>
  <si>
    <t>Staff medical cover / medical insurance</t>
  </si>
  <si>
    <t>TOTAL EXPENSES</t>
  </si>
  <si>
    <t>OPERATING PROFIT</t>
  </si>
  <si>
    <t>Add:  OTHER INCOME:-</t>
  </si>
  <si>
    <t>Interest Income - Fixed Deposit A/c</t>
  </si>
  <si>
    <t>NET PROFIT BEFORE TAX</t>
  </si>
  <si>
    <t xml:space="preserve">Media Edge   </t>
  </si>
  <si>
    <t>OCK</t>
  </si>
  <si>
    <t xml:space="preserve">MEDIA EDGE GROUP </t>
  </si>
  <si>
    <t>INCOME</t>
  </si>
  <si>
    <t>Cost of Sales</t>
  </si>
  <si>
    <t>COST OF SALES:-</t>
  </si>
  <si>
    <t>MEIL</t>
  </si>
  <si>
    <t>GROUP</t>
  </si>
  <si>
    <t>Miscellaneous Expenses</t>
  </si>
  <si>
    <t>Taxation @ 30%</t>
  </si>
  <si>
    <t xml:space="preserve">NET PROFIT  </t>
  </si>
  <si>
    <t xml:space="preserve">Advertising- MIA &amp; JKIA Maintenance Contract </t>
  </si>
  <si>
    <t>MEDIA EDGE INTERACTIVE LIMITED</t>
  </si>
  <si>
    <t>Staff Bonus (Including directors)</t>
  </si>
  <si>
    <t>Sales Commission</t>
  </si>
  <si>
    <t>Staff Bonus (Including Directors)</t>
  </si>
  <si>
    <t>I/C Items</t>
  </si>
  <si>
    <t>Notes:</t>
  </si>
  <si>
    <t>Board of Directors Fees</t>
  </si>
  <si>
    <t>1) Staff bonus is 100% awarded upon 100% sales achievement</t>
  </si>
  <si>
    <t>2) Directors bonus is 150% awarded upon 100% sales achievement</t>
  </si>
  <si>
    <t>Staff Bonus (Including directors bonus)</t>
  </si>
  <si>
    <t>Group Total</t>
  </si>
  <si>
    <t>Event Management</t>
  </si>
  <si>
    <t>Branding &amp; Advertising</t>
  </si>
  <si>
    <t>Brand Design, Advertising &amp; Event Management</t>
  </si>
  <si>
    <t>Overdraft interest</t>
  </si>
  <si>
    <t>TURNOVER</t>
  </si>
  <si>
    <t>TOTAL TURNOVER</t>
  </si>
  <si>
    <t>Revenue% to Sales Turnover</t>
  </si>
  <si>
    <t xml:space="preserve">SALES TURNOVER </t>
  </si>
  <si>
    <t>Revenue % to Sales Turnover</t>
  </si>
  <si>
    <t>OVERHEADS</t>
  </si>
  <si>
    <t>Revenue% in to Sales Turnover</t>
  </si>
  <si>
    <t>Sales Turnover</t>
  </si>
  <si>
    <t>Net Profit as a percentage of Revenue</t>
  </si>
  <si>
    <t>Total Overheads as a % of Revenue</t>
  </si>
  <si>
    <t>Budget 2012 Income Statement</t>
  </si>
  <si>
    <t>Budget 2012 Consolidated Income Statement</t>
  </si>
  <si>
    <t>YEAR - 2012</t>
  </si>
  <si>
    <t>CONSOLIDATED BUDGET 2012 INCOME STATEMENT</t>
  </si>
  <si>
    <t xml:space="preserve">Loan Interest </t>
  </si>
  <si>
    <t>New Infrastructure Development at MIA and other projects (COS 50%)</t>
  </si>
  <si>
    <t>May</t>
  </si>
  <si>
    <t>Jan</t>
  </si>
  <si>
    <t>Feb</t>
  </si>
  <si>
    <t>Mar</t>
  </si>
  <si>
    <t>Apr</t>
  </si>
  <si>
    <t>Jun</t>
  </si>
  <si>
    <t>Jul</t>
  </si>
  <si>
    <t>Aug</t>
  </si>
  <si>
    <t>Sep</t>
  </si>
  <si>
    <t>Oct</t>
  </si>
  <si>
    <t>Nov</t>
  </si>
  <si>
    <t>Dec</t>
  </si>
  <si>
    <t>Creative &amp; design Costs ( COS 40%)</t>
  </si>
  <si>
    <t>PR COMPANY</t>
  </si>
  <si>
    <t>Revenue</t>
  </si>
  <si>
    <t>Media Edge Interactive Ltd</t>
  </si>
  <si>
    <t>Out Door Care Kenya Ltd</t>
  </si>
  <si>
    <t>December</t>
  </si>
  <si>
    <t>January</t>
  </si>
  <si>
    <t>February</t>
  </si>
  <si>
    <t>March</t>
  </si>
  <si>
    <t>April</t>
  </si>
  <si>
    <t>June</t>
  </si>
  <si>
    <t>July</t>
  </si>
  <si>
    <t>August</t>
  </si>
  <si>
    <t>September</t>
  </si>
  <si>
    <t>October</t>
  </si>
  <si>
    <t>November</t>
  </si>
  <si>
    <t>Cash Balance B/Fwd</t>
  </si>
  <si>
    <t xml:space="preserve">Debtors List Total B/Fwd </t>
  </si>
  <si>
    <t xml:space="preserve">Revenue Invoiced (Sales) Per Forecast </t>
  </si>
  <si>
    <t xml:space="preserve">Total debtors </t>
  </si>
  <si>
    <t>Receivables</t>
  </si>
  <si>
    <t>Total Cash Inflow</t>
  </si>
  <si>
    <t xml:space="preserve">Debtors List Total C/Fwd </t>
  </si>
  <si>
    <t>Creditors list B/Fwd</t>
  </si>
  <si>
    <t>Cost of Sales Per Forecast</t>
  </si>
  <si>
    <t>Total Creditors</t>
  </si>
  <si>
    <t xml:space="preserve">Corporation Tax </t>
  </si>
  <si>
    <t xml:space="preserve">Capital Expenditure </t>
  </si>
  <si>
    <t>Other payments</t>
  </si>
  <si>
    <t>Total Cash Outflow</t>
  </si>
  <si>
    <t>Total Creditors C/fwd</t>
  </si>
  <si>
    <t>Cash Balance C/Fwd</t>
  </si>
  <si>
    <t>Debtors Collection assumptions</t>
  </si>
  <si>
    <t>45% of debtors is collected in 60days.</t>
  </si>
  <si>
    <t>50% is collected after 60 days</t>
  </si>
  <si>
    <t>5% is collected after 90 days</t>
  </si>
  <si>
    <t>Creditors payment assumptions</t>
  </si>
  <si>
    <t>5% of Creditors are  prepaid</t>
  </si>
  <si>
    <t>Other creditors are paid after 60 days</t>
  </si>
  <si>
    <t>Cash Flow Forecast Q4 2010</t>
  </si>
  <si>
    <t xml:space="preserve">Loan Repayment </t>
  </si>
  <si>
    <t>Month</t>
  </si>
  <si>
    <t>Sales</t>
  </si>
  <si>
    <t>Cash Flow Forecast 2012</t>
  </si>
  <si>
    <t>Revenue Invoiced (Sales)</t>
  </si>
  <si>
    <t>MEIL Actual 2011 Aged Debtors Trend &amp; Statistics</t>
  </si>
  <si>
    <t>Current</t>
  </si>
  <si>
    <t>1 - 30</t>
  </si>
  <si>
    <t>31 - 60</t>
  </si>
  <si>
    <t>61 - 90</t>
  </si>
  <si>
    <t>&gt; 90</t>
  </si>
  <si>
    <t>Total Debtors</t>
  </si>
  <si>
    <t>January 2011</t>
  </si>
  <si>
    <t>February 2011</t>
  </si>
  <si>
    <t>March 2011</t>
  </si>
  <si>
    <t>April 2011</t>
  </si>
  <si>
    <t>May 2011</t>
  </si>
  <si>
    <t>June 2011</t>
  </si>
  <si>
    <t>July 2011</t>
  </si>
  <si>
    <t>August  2011</t>
  </si>
  <si>
    <t>September 2011</t>
  </si>
  <si>
    <t>October 2011</t>
  </si>
  <si>
    <t>November  2011</t>
  </si>
  <si>
    <t xml:space="preserve">Average </t>
  </si>
  <si>
    <t>Debtors Movement</t>
  </si>
  <si>
    <t>Creditors Movement</t>
  </si>
  <si>
    <t>Debtors Turnover is 5 times in a year</t>
  </si>
  <si>
    <t xml:space="preserve">Average collection peroid is 60 days </t>
  </si>
  <si>
    <t>Average COS paid is 30%</t>
  </si>
  <si>
    <t>averege collections is 35%</t>
  </si>
  <si>
    <t>Collections from Debtors per schedule</t>
  </si>
  <si>
    <t>Other Cash Inflows</t>
  </si>
  <si>
    <t>Cash Outflows</t>
  </si>
  <si>
    <t>Other Cash Outflows</t>
  </si>
  <si>
    <t>Cash Inflows</t>
  </si>
  <si>
    <t>Overhead Expenses</t>
  </si>
  <si>
    <t xml:space="preserve">VAT </t>
  </si>
  <si>
    <t>NB: 2) The cashflow does not include overdraft Facility of 1M in Chase Bank and 2 Million in CBA</t>
  </si>
  <si>
    <t>Budget 2012 Capital Expenditure</t>
  </si>
  <si>
    <t>Equipment</t>
  </si>
  <si>
    <t>Purpose of Equipment</t>
  </si>
  <si>
    <t>TRIPOD: Sachtler DV6SB model</t>
  </si>
  <si>
    <t>Supports camera operations and movement</t>
  </si>
  <si>
    <t>Panasoni HVX 200E with tripod</t>
  </si>
  <si>
    <t>to complement the current camera and stop hiring when shooting multi camera</t>
  </si>
  <si>
    <t>p2 memory cards</t>
  </si>
  <si>
    <t>to record high definition on the current panasonic camera that we have</t>
  </si>
  <si>
    <t>Canon 7D camera/lenses &amp; sound kit with tripod</t>
  </si>
  <si>
    <t xml:space="preserve">records high definition: </t>
  </si>
  <si>
    <t xml:space="preserve">TAPE PLAYER/RECORDER: Sony HVR M15 </t>
  </si>
  <si>
    <t xml:space="preserve">For tape playing and recording </t>
  </si>
  <si>
    <t>Studio microphones</t>
  </si>
  <si>
    <t>for studio sound recording</t>
  </si>
  <si>
    <t>power extension cables on drums</t>
  </si>
  <si>
    <t>for use with the arri lights while on location</t>
  </si>
  <si>
    <t>audio cables</t>
  </si>
  <si>
    <t>for sound recording in the field</t>
  </si>
  <si>
    <t>DVD player/recorder</t>
  </si>
  <si>
    <t>for DVD playing and recording</t>
  </si>
  <si>
    <t>4 channel mixer</t>
  </si>
  <si>
    <t>two 1 TB G-raid drive</t>
  </si>
  <si>
    <t>back up for saving images</t>
  </si>
  <si>
    <t>Audio Visual Total CapEx</t>
  </si>
  <si>
    <t>Creative Design Unit</t>
  </si>
  <si>
    <t>1 Hard disk</t>
  </si>
  <si>
    <t>For upgrading George's comp</t>
  </si>
  <si>
    <t>1 wireless mouse</t>
  </si>
  <si>
    <t>To replcae Goerge's damaged one</t>
  </si>
  <si>
    <t>iMac Computer</t>
  </si>
  <si>
    <t>To replace the one charles is using</t>
  </si>
  <si>
    <t>Mac Book Pro Laptop</t>
  </si>
  <si>
    <t>For new senior creative when she/he comes in</t>
  </si>
  <si>
    <t>2 External Backup Lacie - 1 TB</t>
  </si>
  <si>
    <t>The current one is full, we need an onsite and an offsite</t>
  </si>
  <si>
    <t>Luerzers Archive 2 year subscription</t>
  </si>
  <si>
    <t>Cultivation of creative awareness of trends and capacities</t>
  </si>
  <si>
    <t>Canon 7D Camera</t>
  </si>
  <si>
    <t>To aid in production of better creative output</t>
  </si>
  <si>
    <t>Office Partitioning (CD)</t>
  </si>
  <si>
    <t>There is need to close up the CD's Office</t>
  </si>
  <si>
    <t>Creative Design Unit Total CapEx</t>
  </si>
  <si>
    <t>Laptop for Head of AE</t>
  </si>
  <si>
    <t>Office Computer for new position</t>
  </si>
  <si>
    <t xml:space="preserve">Brand Design Total </t>
  </si>
  <si>
    <t>Laptop for the Head of PR</t>
  </si>
  <si>
    <t>Laptop for  media strategist</t>
  </si>
  <si>
    <t>KARF</t>
  </si>
  <si>
    <t xml:space="preserve">Research data  from synovate </t>
  </si>
  <si>
    <t>TELMA (TNT crossstabbing and media planning)</t>
  </si>
  <si>
    <t xml:space="preserve">media planning tools </t>
  </si>
  <si>
    <t xml:space="preserve">Media Unit Total </t>
  </si>
  <si>
    <t>Finance, IT, HR &amp; Admin Units</t>
  </si>
  <si>
    <t>New Office</t>
  </si>
  <si>
    <t>Rent Deposit</t>
  </si>
  <si>
    <t>For Administration</t>
  </si>
  <si>
    <t>Partitioning &amp; Furnishing</t>
  </si>
  <si>
    <t>laptops for New Staff</t>
  </si>
  <si>
    <t>Accounting Software</t>
  </si>
  <si>
    <t>To help in reporting and controls</t>
  </si>
  <si>
    <t>Motor Bike for Administration</t>
  </si>
  <si>
    <t>To Boost efficiency on Mail/percel deliveries</t>
  </si>
  <si>
    <t>Van for AV Unit</t>
  </si>
  <si>
    <t>To carry our crew and equipment for shoots and events</t>
  </si>
  <si>
    <t xml:space="preserve">Server Back up System </t>
  </si>
  <si>
    <t>TOTAL CAPITAL EXPENDITURE</t>
  </si>
  <si>
    <t>NB:</t>
  </si>
  <si>
    <t>Acquisition of Capital Assets is subject to achievement of sales budget and availability of funds</t>
  </si>
  <si>
    <t>Approval to aquire assets will be sought at every purchase even if the overall capex budget is approved</t>
  </si>
  <si>
    <t>Total</t>
  </si>
  <si>
    <t>I-pad &amp; Laptop for Admin Unit</t>
  </si>
  <si>
    <t>Suppliers Payments per schedule</t>
  </si>
  <si>
    <t>Net Cash flow</t>
  </si>
  <si>
    <t xml:space="preserve">NB: 1) The cashflow does not include Bid Bond Deposits of 2 million in Chese Bank </t>
  </si>
  <si>
    <t>For the joinng team</t>
  </si>
  <si>
    <t>Salaries &amp; wages (Group A)</t>
  </si>
  <si>
    <t>Salaries &amp; wages (Group B)</t>
  </si>
  <si>
    <t>Miscellqneous expenses</t>
  </si>
  <si>
    <t>PR Division</t>
  </si>
  <si>
    <t>+</t>
  </si>
  <si>
    <t>Marketing &amp; Entertainment</t>
  </si>
  <si>
    <t xml:space="preserve">             50,000 </t>
  </si>
  <si>
    <t xml:space="preserve">             50,000 </t>
  </si>
  <si>
    <t>Marketing expenses</t>
  </si>
  <si>
    <t xml:space="preserve">          158,333 </t>
  </si>
  <si>
    <t xml:space="preserve">          158,333 </t>
  </si>
  <si>
    <t>Tender fees&amp;presentation materials</t>
  </si>
  <si>
    <t xml:space="preserve">          166,667 </t>
  </si>
  <si>
    <t>Total Marketing &amp; Entertainment</t>
  </si>
  <si>
    <t xml:space="preserve">          375,000 </t>
  </si>
  <si>
    <t xml:space="preserve">          375,000 </t>
  </si>
  <si>
    <t xml:space="preserve">Suppliers Payments </t>
  </si>
  <si>
    <t>Net Salaries</t>
  </si>
  <si>
    <t>Salary Statutory Deductions</t>
  </si>
  <si>
    <t>Other Overhead Expenses</t>
  </si>
  <si>
    <t>Other Supplier Payments</t>
  </si>
  <si>
    <t>KAA Debt Current</t>
  </si>
  <si>
    <t>KAA Debt Arrears</t>
  </si>
  <si>
    <t>KAA Debt (Current)</t>
  </si>
  <si>
    <t>KAA Debt (Arrears)</t>
  </si>
  <si>
    <t>PR Unit</t>
  </si>
  <si>
    <t>PR Costs</t>
  </si>
  <si>
    <t>OD Repayment</t>
  </si>
  <si>
    <t>Debtors Due 30-60 days)= 60%</t>
  </si>
  <si>
    <t>Debtors Due 60-90 days)= 30%</t>
  </si>
  <si>
    <t>Debtors Due &gt;90 days)= 5%</t>
  </si>
  <si>
    <t>Current Sales (1-30 days)=5%</t>
  </si>
  <si>
    <t>Total Collections</t>
  </si>
  <si>
    <t>Payments Due 60-90 Days (40%)</t>
  </si>
  <si>
    <t>Suppliers Payments</t>
  </si>
  <si>
    <t>Payments Due &gt;90 Days (40%)</t>
  </si>
  <si>
    <t>Capital Expenditure (Telma &amp; Computers)</t>
  </si>
  <si>
    <t>Telma &amp; Computer</t>
  </si>
  <si>
    <t>Collection of BFWD Debtors</t>
  </si>
  <si>
    <t>Payment of BBFWD</t>
  </si>
  <si>
    <t>Prepayments (5%)</t>
  </si>
  <si>
    <t>Payments Due 30-60Days (15%)</t>
  </si>
  <si>
    <t>Notes on CapEx Payments</t>
  </si>
  <si>
    <t>KARF &amp; 2 Imacs</t>
  </si>
  <si>
    <t>IT System Overhaul</t>
  </si>
  <si>
    <t>Creative &amp; design Costs ( COS 43%)</t>
  </si>
  <si>
    <t>This revised budget has Actual Turnover in the first 4 months</t>
  </si>
  <si>
    <t>Due to the forecasted growth, we shall move to new offices from 2nd Half to accommodate the new teams and this explains the higher rental charges</t>
  </si>
  <si>
    <t>We have invested in new specialised staff from Q2, and introduced new units of PR and Strategy.They will focus on new revenue initiatives including but not limited to exploiting the opportunities in the poitical arena as the battle for the presidency ranges on. This is expected to bring in +60% more business, taking our topline to Kshs 378 Million as at year end.</t>
  </si>
  <si>
    <t>VAT &amp; PAYE Arrears (Kshs 14M in May)</t>
  </si>
  <si>
    <t>MEIL: Break-Even Sales Analysis</t>
  </si>
  <si>
    <t>Full Yr 2011</t>
  </si>
  <si>
    <t>2011 Average</t>
  </si>
  <si>
    <t>Ytd April 2012</t>
  </si>
  <si>
    <t>Yr 2012 Average</t>
  </si>
  <si>
    <t>Sales (@ Break Even)</t>
  </si>
  <si>
    <t>GP (Revenue Kshs)</t>
  </si>
  <si>
    <t>GP Margin (Revenue%)</t>
  </si>
  <si>
    <t>Average Overheads</t>
  </si>
  <si>
    <t>PBT</t>
  </si>
  <si>
    <t>Notes/Assumptions</t>
  </si>
  <si>
    <t xml:space="preserve">May </t>
  </si>
  <si>
    <t>April  Ytd 2012</t>
  </si>
  <si>
    <t>Break-Even Analysis Using Budget 2012 Overheads</t>
  </si>
  <si>
    <t>The Average GP (Revenue %) is estimated at 43%  as at April 2012. This is lower than LY due to the expected high media business which has low margin of 18%, as well as reduced Msafiri commission. If the margin increases, then the break-een sales requireed reduces in tandem</t>
  </si>
  <si>
    <t>Break-Even sales Figure is arrived at when both the GP (Revenue in Kshs) and the Average Overheads equate. Therefore, by changing the average overhead figure you will see the B.E. sales required to sustain the business</t>
  </si>
  <si>
    <t>Debt ratio anaylsis</t>
  </si>
  <si>
    <t>Debtors &amp; Creditors Forecast 2012</t>
  </si>
  <si>
    <t>Cash Flow Forecast 2013</t>
  </si>
  <si>
    <t>Redhouse Group Limited</t>
  </si>
  <si>
    <t>INCOME(SOURCE OF FUNDS)</t>
  </si>
  <si>
    <t>ACTIVITIES (APPLICATION OF FUNDS)</t>
  </si>
  <si>
    <t>TOTAL EXPENDITURE (A)</t>
  </si>
  <si>
    <t>SURPLUS/DEFICIT (CF) B-A)</t>
  </si>
  <si>
    <t>TOTAL INCOME B</t>
  </si>
  <si>
    <t>MEMBERS CONTRIBUTION</t>
  </si>
  <si>
    <t xml:space="preserve">DONATIONS </t>
  </si>
  <si>
    <t>MEETINGS</t>
  </si>
  <si>
    <t>TRAINING</t>
  </si>
  <si>
    <t>SEMINARS/RETREATS</t>
  </si>
  <si>
    <t>GROUP SUNDAY  COLLECTION</t>
  </si>
  <si>
    <t xml:space="preserve">BUDGET </t>
  </si>
  <si>
    <t>ACTUAL</t>
  </si>
  <si>
    <t xml:space="preserve">VARIANCE </t>
  </si>
  <si>
    <t>APPROVALS</t>
  </si>
  <si>
    <t>AUTHORISED (CBM) ………………………………………………………………………</t>
  </si>
  <si>
    <t>PREPARED (GROUP TREASURER)  ……………………………………………………..</t>
  </si>
  <si>
    <t>APPROVED (GROUP CHAIRMAN)………………………………………………………</t>
  </si>
  <si>
    <t>NOTES</t>
  </si>
  <si>
    <t>GROUPS TO APROVE BUDGETS BY A MINUTE</t>
  </si>
  <si>
    <t>AUDIT TO REVIEW QUARTERLY</t>
  </si>
  <si>
    <t>Signature……………..</t>
  </si>
  <si>
    <t>STRATEGIC PLAN ITEM</t>
  </si>
  <si>
    <t xml:space="preserve">Budget 2025/2026-Template </t>
  </si>
  <si>
    <t>2025/26</t>
  </si>
  <si>
    <t>SURPLUS /DEFICIT B/F from previous year</t>
  </si>
  <si>
    <t>DATE………………..</t>
  </si>
  <si>
    <t>GROUP/COMMITEE NAME:……….........................……………………...-PCEA MUTEERO - KAREN WEST PARISH</t>
  </si>
  <si>
    <t>CBM SUPPORT APPLIES STRICTLY TO BSR ONLY</t>
  </si>
  <si>
    <t>PARISH SUPPORT APPLIES STRICTLY TO INTERNAL AUDIT COMMITTEE ONLY</t>
  </si>
  <si>
    <t>CONTIGENCIES (5% of the above total expenses)</t>
  </si>
  <si>
    <t>Tithe (10% of income)</t>
  </si>
  <si>
    <t>Mission and Evangelism and BSR support (10% of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</si>
</sst>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_(* #,##0_);_(* \(#,##0\);_(* &quot;-&quot;?_);_(@_)"/>
    <numFmt numFmtId="167" formatCode="0.0%"/>
  </numFmts>
  <fonts count="135" x14ac:knownFonts="1">
    <font>
      <sz val="11"/>
      <name val="Calibri"/>
    </font>
    <font>
      <b/>
      <sz val="12"/>
      <name val="Calibri"/>
    </font>
    <font>
      <sz val="11"/>
      <name val="Calibri"/>
    </font>
    <font>
      <sz val="11"/>
      <color rgb="FF0000FF"/>
      <name val="Calibri"/>
    </font>
    <font>
      <b/>
      <sz val="16"/>
      <name val="Calibri"/>
    </font>
    <font>
      <b/>
      <sz val="14"/>
      <color rgb="FF0000FF"/>
      <name val="Calibri"/>
    </font>
    <font>
      <sz val="12"/>
      <color rgb="FF000000"/>
      <name val="Calibri"/>
    </font>
    <font>
      <b/>
      <sz val="12"/>
      <name val="Arial"/>
    </font>
    <font>
      <b/>
      <sz val="12"/>
      <color rgb="FF0000FF"/>
      <name val="Arial"/>
    </font>
    <font>
      <b/>
      <sz val="11"/>
      <name val="Calibri"/>
    </font>
    <font>
      <b/>
      <sz val="14"/>
      <name val="Calibri"/>
    </font>
    <font>
      <sz val="11"/>
      <color rgb="FF000000"/>
      <name val="Calibri"/>
    </font>
    <font>
      <b/>
      <sz val="11"/>
      <color rgb="FF000000"/>
      <name val="Calibri"/>
    </font>
    <font>
      <i/>
      <sz val="10"/>
      <color rgb="FF000000"/>
      <name val="Calibri"/>
    </font>
    <font>
      <i/>
      <sz val="10"/>
      <name val="Calibri"/>
    </font>
    <font>
      <i/>
      <sz val="10"/>
      <color rgb="FF0000FF"/>
      <name val="Calibri"/>
    </font>
    <font>
      <sz val="11"/>
      <color rgb="FF00B050"/>
      <name val="Calibri"/>
    </font>
    <font>
      <b/>
      <sz val="12"/>
      <color rgb="FF0000FF"/>
      <name val="Calibri"/>
    </font>
    <font>
      <sz val="11"/>
      <color rgb="FF006600"/>
      <name val="Calibri"/>
    </font>
    <font>
      <sz val="9"/>
      <name val="Century Gothic"/>
    </font>
    <font>
      <b/>
      <sz val="10"/>
      <color rgb="FF0000FF"/>
      <name val="Century Gothic"/>
    </font>
    <font>
      <b/>
      <sz val="11"/>
      <color rgb="FF0000FF"/>
      <name val="Century Gothic"/>
    </font>
    <font>
      <b/>
      <sz val="12"/>
      <color rgb="FF0000FF"/>
      <name val="Century Gothic"/>
    </font>
    <font>
      <b/>
      <sz val="9"/>
      <color rgb="FF0000FF"/>
      <name val="Century Gothic"/>
    </font>
    <font>
      <b/>
      <sz val="10"/>
      <name val="Century Gothic"/>
    </font>
    <font>
      <sz val="10"/>
      <name val="Century Gothic"/>
    </font>
    <font>
      <b/>
      <sz val="9"/>
      <name val="Century Gothic"/>
    </font>
    <font>
      <i/>
      <sz val="10"/>
      <color rgb="FF0000FF"/>
      <name val="Century Gothic"/>
    </font>
    <font>
      <i/>
      <sz val="9"/>
      <color rgb="FF0000FF"/>
      <name val="Century Gothic"/>
    </font>
    <font>
      <sz val="10"/>
      <color rgb="FFFF0000"/>
      <name val="Century Gothic"/>
    </font>
    <font>
      <sz val="9"/>
      <color rgb="FFFF0000"/>
      <name val="Century Gothic"/>
    </font>
    <font>
      <sz val="10"/>
      <color rgb="FF0000FF"/>
      <name val="Century Gothic"/>
    </font>
    <font>
      <i/>
      <sz val="10"/>
      <name val="Century Gothic"/>
    </font>
    <font>
      <b/>
      <i/>
      <sz val="10"/>
      <color rgb="FF7030A0"/>
      <name val="Century Gothic"/>
    </font>
    <font>
      <b/>
      <i/>
      <sz val="10"/>
      <color rgb="FF0000FF"/>
      <name val="Century Gothic"/>
    </font>
    <font>
      <b/>
      <i/>
      <sz val="9"/>
      <color rgb="FF0000FF"/>
      <name val="Century Gothic"/>
    </font>
    <font>
      <b/>
      <i/>
      <sz val="11"/>
      <color rgb="FF0000FF"/>
      <name val="Century Gothic"/>
    </font>
    <font>
      <sz val="11"/>
      <color rgb="FF0000FF"/>
      <name val="Century Gothic"/>
    </font>
    <font>
      <b/>
      <sz val="10"/>
      <color rgb="FF000000"/>
      <name val="Century Gothic"/>
    </font>
    <font>
      <sz val="10"/>
      <color rgb="FF000000"/>
      <name val="Century Gothic"/>
    </font>
    <font>
      <sz val="9"/>
      <color rgb="FF000000"/>
      <name val="Century Gothic"/>
    </font>
    <font>
      <b/>
      <sz val="9"/>
      <color rgb="FF000000"/>
      <name val="Century Gothic"/>
    </font>
    <font>
      <sz val="8"/>
      <name val="Century Gothic"/>
    </font>
    <font>
      <i/>
      <sz val="9"/>
      <name val="Century Gothic"/>
    </font>
    <font>
      <b/>
      <u/>
      <sz val="10"/>
      <name val="Century Gothic"/>
    </font>
    <font>
      <b/>
      <sz val="10"/>
      <color rgb="FFFF0000"/>
      <name val="Century Gothic"/>
    </font>
    <font>
      <sz val="11"/>
      <color rgb="FF000000"/>
      <name val="Century Gothic"/>
    </font>
    <font>
      <sz val="11"/>
      <color rgb="FFC00000"/>
      <name val="Century Gothic"/>
    </font>
    <font>
      <b/>
      <sz val="9"/>
      <color rgb="FFC00000"/>
      <name val="Century Gothic"/>
    </font>
    <font>
      <b/>
      <sz val="10"/>
      <color rgb="FF2B01C3"/>
      <name val="Century Gothic"/>
    </font>
    <font>
      <b/>
      <sz val="10"/>
      <color rgb="FFC00000"/>
      <name val="Century Gothic"/>
    </font>
    <font>
      <i/>
      <sz val="10"/>
      <color rgb="FFC00000"/>
      <name val="Century Gothic"/>
    </font>
    <font>
      <sz val="10"/>
      <color rgb="FFC00000"/>
      <name val="Century Gothic"/>
    </font>
    <font>
      <sz val="11"/>
      <color rgb="FF000000"/>
      <name val="Arial"/>
    </font>
    <font>
      <sz val="11"/>
      <color rgb="FF0000CC"/>
      <name val="Arial"/>
    </font>
    <font>
      <b/>
      <sz val="12"/>
      <color rgb="FFFF0000"/>
      <name val="Arial"/>
    </font>
    <font>
      <b/>
      <sz val="12"/>
      <color rgb="FF0000CC"/>
      <name val="Arial"/>
    </font>
    <font>
      <b/>
      <sz val="11"/>
      <color rgb="FF0000CC"/>
      <name val="Arial"/>
    </font>
    <font>
      <sz val="9"/>
      <color rgb="FF0000CC"/>
      <name val="Arial"/>
    </font>
    <font>
      <b/>
      <sz val="9"/>
      <color rgb="FF0000CC"/>
      <name val="Arial"/>
    </font>
    <font>
      <sz val="10"/>
      <color rgb="FF0000CC"/>
      <name val="Arial"/>
    </font>
    <font>
      <b/>
      <sz val="10"/>
      <color rgb="FF0000CC"/>
      <name val="Arial"/>
    </font>
    <font>
      <b/>
      <sz val="11"/>
      <name val="Arial"/>
    </font>
    <font>
      <sz val="11"/>
      <name val="Arial"/>
    </font>
    <font>
      <b/>
      <sz val="11"/>
      <color indexed="62"/>
      <name val="Arial"/>
    </font>
    <font>
      <b/>
      <u/>
      <sz val="11"/>
      <name val="Arial"/>
    </font>
    <font>
      <i/>
      <sz val="11"/>
      <color rgb="FF0000CC"/>
      <name val="Arial"/>
    </font>
    <font>
      <i/>
      <sz val="10"/>
      <color rgb="FF0000CC"/>
      <name val="Arial"/>
    </font>
    <font>
      <sz val="12"/>
      <color rgb="FF0000FF"/>
      <name val="Arial"/>
    </font>
    <font>
      <sz val="10"/>
      <color rgb="FF0000FF"/>
      <name val="Arial"/>
    </font>
    <font>
      <b/>
      <sz val="18"/>
      <color indexed="8"/>
      <name val="Calibri"/>
    </font>
    <font>
      <b/>
      <sz val="11"/>
      <color rgb="FF0000CC"/>
      <name val="Calibri"/>
    </font>
    <font>
      <sz val="11"/>
      <color rgb="FF000000"/>
      <name val="Calibri"/>
    </font>
    <font>
      <b/>
      <sz val="11"/>
      <color rgb="FF000000"/>
      <name val="Calibri"/>
    </font>
    <font>
      <b/>
      <sz val="11"/>
      <color rgb="FF3333FF"/>
      <name val="Calibri"/>
    </font>
    <font>
      <b/>
      <sz val="12"/>
      <color rgb="FF3333FF"/>
      <name val="Calibri"/>
    </font>
    <font>
      <b/>
      <sz val="10"/>
      <color rgb="FF3333FF"/>
      <name val="Calibri"/>
    </font>
    <font>
      <sz val="14"/>
      <color rgb="FF0000CC"/>
      <name val="Calibri"/>
    </font>
    <font>
      <sz val="14"/>
      <color rgb="FF0000CC"/>
      <name val="Century Gothic"/>
    </font>
    <font>
      <b/>
      <sz val="14"/>
      <color rgb="FF0000CC"/>
      <name val="Century Gothic"/>
    </font>
    <font>
      <sz val="14"/>
      <color rgb="FF0000CC"/>
      <name val="Calibri"/>
    </font>
    <font>
      <b/>
      <sz val="14"/>
      <color rgb="FF0000CC"/>
      <name val="Verdana"/>
    </font>
    <font>
      <b/>
      <sz val="14"/>
      <color rgb="FF0000CC"/>
      <name val="Calibri"/>
    </font>
    <font>
      <b/>
      <sz val="12"/>
      <color rgb="FF000000"/>
      <name val="Calibri"/>
    </font>
    <font>
      <b/>
      <sz val="16"/>
      <color rgb="FF974706"/>
      <name val="Calibri"/>
    </font>
    <font>
      <b/>
      <sz val="16"/>
      <color rgb="FF0000FF"/>
      <name val="Calibri"/>
    </font>
    <font>
      <b/>
      <sz val="16"/>
      <color rgb="FF006600"/>
      <name val="Calibri"/>
    </font>
    <font>
      <sz val="14"/>
      <color rgb="FF000000"/>
      <name val="Calibri"/>
    </font>
    <font>
      <b/>
      <sz val="14"/>
      <color rgb="FF974706"/>
      <name val="Arial"/>
    </font>
    <font>
      <b/>
      <sz val="14"/>
      <color rgb="FF0000FF"/>
      <name val="Arial"/>
    </font>
    <font>
      <b/>
      <sz val="14"/>
      <color rgb="FF006600"/>
      <name val="Arial"/>
    </font>
    <font>
      <b/>
      <sz val="12"/>
      <color rgb="FF974706"/>
      <name val="Arial"/>
    </font>
    <font>
      <b/>
      <sz val="11"/>
      <color rgb="FF974706"/>
      <name val="Calibri"/>
    </font>
    <font>
      <b/>
      <sz val="11"/>
      <color rgb="FF0000FF"/>
      <name val="Calibri"/>
    </font>
    <font>
      <b/>
      <sz val="12"/>
      <color rgb="FF006600"/>
      <name val="Arial"/>
    </font>
    <font>
      <b/>
      <sz val="11"/>
      <color rgb="FF006600"/>
      <name val="Calibri"/>
    </font>
    <font>
      <b/>
      <sz val="12"/>
      <color rgb="FF006600"/>
      <name val="Calibri"/>
    </font>
    <font>
      <b/>
      <sz val="12"/>
      <color rgb="FF974706"/>
      <name val="Calibri"/>
    </font>
    <font>
      <sz val="11"/>
      <color rgb="FF974706"/>
      <name val="Calibri"/>
    </font>
    <font>
      <sz val="12"/>
      <color rgb="FF00B050"/>
      <name val="Calibri"/>
    </font>
    <font>
      <b/>
      <sz val="12"/>
      <color rgb="FF00B050"/>
      <name val="Arial"/>
    </font>
    <font>
      <i/>
      <sz val="10"/>
      <color rgb="FF3333FF"/>
      <name val="Calibri"/>
    </font>
    <font>
      <i/>
      <sz val="10"/>
      <color rgb="FF974706"/>
      <name val="Calibri"/>
    </font>
    <font>
      <b/>
      <i/>
      <sz val="10"/>
      <color rgb="FF006600"/>
      <name val="Calibri"/>
    </font>
    <font>
      <i/>
      <sz val="10"/>
      <color rgb="FF006600"/>
      <name val="Calibri"/>
    </font>
    <font>
      <sz val="12"/>
      <color rgb="FF006600"/>
      <name val="Calibri"/>
    </font>
    <font>
      <sz val="12"/>
      <color rgb="FF974706"/>
      <name val="Calibri"/>
    </font>
    <font>
      <b/>
      <sz val="8"/>
      <color rgb="FF00B050"/>
      <name val="Arial"/>
    </font>
    <font>
      <sz val="8"/>
      <color rgb="FF00B050"/>
      <name val="Arial"/>
    </font>
    <font>
      <b/>
      <sz val="14"/>
      <color rgb="FF0000CC"/>
      <name val="Calibri"/>
    </font>
    <font>
      <b/>
      <sz val="10"/>
      <name val="Calibri"/>
    </font>
    <font>
      <b/>
      <sz val="10"/>
      <color rgb="FF0000FF"/>
      <name val="Calibri"/>
    </font>
    <font>
      <b/>
      <sz val="10"/>
      <name val="Arial"/>
    </font>
    <font>
      <b/>
      <sz val="10"/>
      <color rgb="FF0000FF"/>
      <name val="Arial"/>
    </font>
    <font>
      <b/>
      <sz val="10"/>
      <color rgb="FF974706"/>
      <name val="Arial"/>
    </font>
    <font>
      <b/>
      <sz val="14"/>
      <color rgb="FF000000"/>
      <name val="Calibri"/>
    </font>
    <font>
      <sz val="12"/>
      <name val="Calibri"/>
    </font>
    <font>
      <sz val="12"/>
      <color rgb="FF0000FF"/>
      <name val="Calibri"/>
    </font>
    <font>
      <sz val="12"/>
      <name val="Calibri"/>
    </font>
    <font>
      <b/>
      <sz val="14"/>
      <color rgb="FF000000"/>
      <name val="Arial"/>
    </font>
    <font>
      <b/>
      <sz val="12"/>
      <color rgb="FF974706"/>
      <name val="Calibri"/>
    </font>
    <font>
      <sz val="12"/>
      <color rgb="FF0000FF"/>
      <name val="Calibri"/>
    </font>
    <font>
      <b/>
      <sz val="12"/>
      <color rgb="FFFFFFFF"/>
      <name val="Calibri"/>
    </font>
    <font>
      <b/>
      <i/>
      <sz val="14"/>
      <color rgb="FF0000CC"/>
      <name val="Calibri"/>
    </font>
    <font>
      <i/>
      <sz val="11"/>
      <color rgb="FF0000CC"/>
      <name val="Calibri"/>
    </font>
    <font>
      <i/>
      <sz val="14"/>
      <color rgb="FF0000CC"/>
      <name val="Calibri"/>
    </font>
    <font>
      <b/>
      <sz val="9"/>
      <color rgb="FFFF0000"/>
      <name val="Century Gothic"/>
    </font>
    <font>
      <b/>
      <u/>
      <sz val="10"/>
      <color rgb="FFFF0000"/>
      <name val="Century Gothic"/>
    </font>
    <font>
      <sz val="11"/>
      <color rgb="FF000000"/>
      <name val="Calibri"/>
    </font>
    <font>
      <sz val="11"/>
      <color indexed="8"/>
      <name val="Calibri"/>
    </font>
    <font>
      <b/>
      <sz val="10"/>
      <name val="Century Gothic"/>
      <family val="2"/>
    </font>
    <font>
      <b/>
      <sz val="12"/>
      <color rgb="FF0000FF"/>
      <name val="Century Gothic"/>
      <family val="2"/>
    </font>
    <font>
      <sz val="8"/>
      <name val="Calibri"/>
    </font>
    <font>
      <sz val="10"/>
      <name val="Century Gothic"/>
      <family val="2"/>
    </font>
    <font>
      <b/>
      <u/>
      <sz val="10"/>
      <name val="Century Gothic"/>
      <family val="2"/>
    </font>
  </fonts>
  <fills count="12">
    <fill>
      <patternFill patternType="none"/>
    </fill>
    <fill>
      <patternFill patternType="gray125"/>
    </fill>
    <fill>
      <patternFill patternType="solid">
        <fgColor rgb="FFF2F2F2"/>
        <bgColor indexed="64"/>
      </patternFill>
    </fill>
    <fill>
      <patternFill patternType="solid">
        <fgColor rgb="FFD6E3BC"/>
        <bgColor indexed="64"/>
      </patternFill>
    </fill>
    <fill>
      <patternFill patternType="solid">
        <fgColor rgb="FFFFFF00"/>
        <bgColor indexed="64"/>
      </patternFill>
    </fill>
    <fill>
      <patternFill patternType="solid">
        <fgColor rgb="FFEEECE1"/>
        <bgColor indexed="64"/>
      </patternFill>
    </fill>
    <fill>
      <patternFill patternType="solid">
        <fgColor rgb="FFFFFFFF"/>
        <bgColor indexed="64"/>
      </patternFill>
    </fill>
    <fill>
      <patternFill patternType="solid">
        <fgColor rgb="FFFBD4B4"/>
        <bgColor indexed="64"/>
      </patternFill>
    </fill>
    <fill>
      <patternFill patternType="solid">
        <fgColor rgb="FFD8D8D8"/>
        <bgColor indexed="64"/>
      </patternFill>
    </fill>
    <fill>
      <patternFill patternType="solid">
        <fgColor indexed="13"/>
        <bgColor indexed="64"/>
      </patternFill>
    </fill>
    <fill>
      <patternFill patternType="solid">
        <fgColor rgb="FFFFC000"/>
        <bgColor indexed="64"/>
      </patternFill>
    </fill>
    <fill>
      <patternFill patternType="solid">
        <fgColor rgb="FF0000CC"/>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double">
        <color indexed="64"/>
      </bottom>
      <diagonal/>
    </border>
    <border>
      <left style="hair">
        <color indexed="64"/>
      </left>
      <right style="hair">
        <color indexed="64"/>
      </right>
      <top style="double">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style="thin">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s>
  <cellStyleXfs count="8">
    <xf numFmtId="0" fontId="0" fillId="0" borderId="0">
      <alignment vertical="center"/>
    </xf>
    <xf numFmtId="164" fontId="128" fillId="0" borderId="0">
      <alignment vertical="top"/>
      <protection locked="0"/>
    </xf>
    <xf numFmtId="164" fontId="129" fillId="0" borderId="0">
      <alignment vertical="top"/>
      <protection locked="0"/>
    </xf>
    <xf numFmtId="164" fontId="128" fillId="0" borderId="0">
      <alignment vertical="top"/>
      <protection locked="0"/>
    </xf>
    <xf numFmtId="9" fontId="128" fillId="0" borderId="0">
      <alignment vertical="top"/>
      <protection locked="0"/>
    </xf>
    <xf numFmtId="164" fontId="129" fillId="0" borderId="0">
      <alignment vertical="top"/>
      <protection locked="0"/>
    </xf>
    <xf numFmtId="9" fontId="129" fillId="0" borderId="0">
      <alignment vertical="top"/>
      <protection locked="0"/>
    </xf>
    <xf numFmtId="0" fontId="128" fillId="0" borderId="0">
      <protection locked="0"/>
    </xf>
  </cellStyleXfs>
  <cellXfs count="616">
    <xf numFmtId="0" fontId="0" fillId="0" borderId="0" xfId="0">
      <alignment vertical="center"/>
    </xf>
    <xf numFmtId="0" fontId="1" fillId="0" borderId="0" xfId="0" applyFont="1" applyAlignment="1"/>
    <xf numFmtId="0" fontId="2" fillId="0" borderId="0" xfId="0" applyFont="1" applyAlignment="1"/>
    <xf numFmtId="0" fontId="3" fillId="0" borderId="0" xfId="0" applyFont="1" applyAlignment="1"/>
    <xf numFmtId="0" fontId="6" fillId="0" borderId="0" xfId="0" applyFont="1" applyAlignment="1">
      <alignment horizontal="center"/>
    </xf>
    <xf numFmtId="165" fontId="7" fillId="0" borderId="4" xfId="1" applyNumberFormat="1" applyFont="1" applyBorder="1" applyAlignment="1" applyProtection="1">
      <alignment horizontal="center"/>
    </xf>
    <xf numFmtId="165" fontId="8" fillId="0" borderId="4" xfId="1" applyNumberFormat="1" applyFont="1" applyBorder="1" applyAlignment="1" applyProtection="1">
      <alignment horizontal="center"/>
    </xf>
    <xf numFmtId="49" fontId="7" fillId="0" borderId="5" xfId="0" applyNumberFormat="1" applyFont="1" applyBorder="1" applyAlignment="1">
      <alignment horizontal="left"/>
    </xf>
    <xf numFmtId="165" fontId="9" fillId="3" borderId="6" xfId="0" applyNumberFormat="1" applyFont="1" applyFill="1" applyBorder="1" applyAlignment="1"/>
    <xf numFmtId="165" fontId="9" fillId="3" borderId="5" xfId="0" applyNumberFormat="1" applyFont="1" applyFill="1" applyBorder="1" applyAlignment="1"/>
    <xf numFmtId="0" fontId="10" fillId="4" borderId="4" xfId="0" applyFont="1" applyFill="1" applyBorder="1" applyAlignment="1"/>
    <xf numFmtId="165" fontId="9" fillId="0" borderId="7" xfId="0" applyNumberFormat="1" applyFont="1" applyBorder="1" applyAlignment="1"/>
    <xf numFmtId="49" fontId="7" fillId="0" borderId="7" xfId="0" applyNumberFormat="1" applyFont="1" applyBorder="1" applyAlignment="1">
      <alignment horizontal="left"/>
    </xf>
    <xf numFmtId="165" fontId="9" fillId="3" borderId="7" xfId="0" applyNumberFormat="1" applyFont="1" applyFill="1" applyBorder="1" applyAlignment="1"/>
    <xf numFmtId="165" fontId="11" fillId="0" borderId="0" xfId="0" applyNumberFormat="1" applyFont="1" applyAlignment="1"/>
    <xf numFmtId="0" fontId="1" fillId="0" borderId="7" xfId="0" applyFont="1" applyBorder="1" applyAlignment="1"/>
    <xf numFmtId="165" fontId="2" fillId="0" borderId="7" xfId="2" applyNumberFormat="1" applyFont="1" applyBorder="1" applyAlignment="1" applyProtection="1"/>
    <xf numFmtId="0" fontId="12" fillId="0" borderId="0" xfId="0" applyFont="1" applyAlignment="1"/>
    <xf numFmtId="0" fontId="1" fillId="0" borderId="4" xfId="0" applyFont="1" applyBorder="1" applyAlignment="1"/>
    <xf numFmtId="165" fontId="9" fillId="5" borderId="4" xfId="2" applyNumberFormat="1" applyFont="1" applyFill="1" applyBorder="1" applyAlignment="1" applyProtection="1"/>
    <xf numFmtId="165" fontId="9" fillId="5" borderId="3" xfId="2" applyNumberFormat="1" applyFont="1" applyFill="1" applyBorder="1" applyAlignment="1" applyProtection="1"/>
    <xf numFmtId="165" fontId="9" fillId="0" borderId="4" xfId="2" applyNumberFormat="1" applyFont="1" applyBorder="1" applyAlignment="1" applyProtection="1"/>
    <xf numFmtId="0" fontId="13" fillId="0" borderId="0" xfId="0" applyFont="1" applyAlignment="1"/>
    <xf numFmtId="165" fontId="14" fillId="0" borderId="5" xfId="2" applyNumberFormat="1" applyFont="1" applyBorder="1" applyAlignment="1" applyProtection="1"/>
    <xf numFmtId="165" fontId="15" fillId="0" borderId="5" xfId="2" applyNumberFormat="1" applyFont="1" applyBorder="1" applyAlignment="1" applyProtection="1"/>
    <xf numFmtId="165" fontId="9" fillId="3" borderId="7" xfId="3" applyNumberFormat="1" applyFont="1" applyFill="1" applyBorder="1" applyAlignment="1" applyProtection="1"/>
    <xf numFmtId="165" fontId="9" fillId="0" borderId="7" xfId="3" applyNumberFormat="1" applyFont="1" applyBorder="1" applyAlignment="1" applyProtection="1"/>
    <xf numFmtId="0" fontId="16" fillId="0" borderId="0" xfId="0" applyFont="1" applyAlignment="1"/>
    <xf numFmtId="165" fontId="2" fillId="0" borderId="7" xfId="3" applyNumberFormat="1" applyFont="1" applyBorder="1" applyAlignment="1" applyProtection="1"/>
    <xf numFmtId="165" fontId="16" fillId="0" borderId="0" xfId="0" applyNumberFormat="1" applyFont="1" applyAlignment="1"/>
    <xf numFmtId="165" fontId="2" fillId="0" borderId="0" xfId="3" applyNumberFormat="1" applyFont="1" applyAlignment="1" applyProtection="1"/>
    <xf numFmtId="0" fontId="1" fillId="0" borderId="8" xfId="0" applyFont="1" applyBorder="1" applyAlignment="1"/>
    <xf numFmtId="165" fontId="2" fillId="0" borderId="8" xfId="3" applyNumberFormat="1" applyFont="1" applyBorder="1" applyAlignment="1" applyProtection="1"/>
    <xf numFmtId="165" fontId="9" fillId="5" borderId="4" xfId="3" applyNumberFormat="1" applyFont="1" applyFill="1" applyBorder="1" applyAlignment="1" applyProtection="1"/>
    <xf numFmtId="165" fontId="9" fillId="5" borderId="3" xfId="3" applyNumberFormat="1" applyFont="1" applyFill="1" applyBorder="1" applyAlignment="1" applyProtection="1"/>
    <xf numFmtId="165" fontId="9" fillId="0" borderId="8" xfId="3" applyNumberFormat="1" applyFont="1" applyBorder="1" applyAlignment="1" applyProtection="1"/>
    <xf numFmtId="165" fontId="9" fillId="0" borderId="9" xfId="3" applyNumberFormat="1" applyFont="1" applyBorder="1" applyAlignment="1" applyProtection="1"/>
    <xf numFmtId="49" fontId="7" fillId="0" borderId="4" xfId="0" applyNumberFormat="1" applyFont="1" applyBorder="1" applyAlignment="1">
      <alignment horizontal="left"/>
    </xf>
    <xf numFmtId="165" fontId="9" fillId="3" borderId="8" xfId="3" applyNumberFormat="1" applyFont="1" applyFill="1" applyBorder="1" applyAlignment="1" applyProtection="1"/>
    <xf numFmtId="165" fontId="9" fillId="3" borderId="9" xfId="3" applyNumberFormat="1" applyFont="1" applyFill="1" applyBorder="1" applyAlignment="1" applyProtection="1"/>
    <xf numFmtId="0" fontId="17" fillId="0" borderId="0" xfId="0" applyFont="1" applyAlignment="1"/>
    <xf numFmtId="165" fontId="3" fillId="0" borderId="0" xfId="0" applyNumberFormat="1" applyFont="1" applyAlignment="1"/>
    <xf numFmtId="0" fontId="1" fillId="0" borderId="4" xfId="0" applyFont="1" applyBorder="1" applyAlignment="1">
      <alignment horizontal="right" vertical="center"/>
    </xf>
    <xf numFmtId="0" fontId="3" fillId="0" borderId="4" xfId="0" applyFont="1" applyBorder="1" applyAlignment="1"/>
    <xf numFmtId="165" fontId="3" fillId="0" borderId="4" xfId="0" applyNumberFormat="1" applyFont="1" applyBorder="1" applyAlignment="1"/>
    <xf numFmtId="0" fontId="2" fillId="0" borderId="4" xfId="0" applyFont="1" applyBorder="1" applyAlignment="1">
      <alignment horizontal="center" vertical="center" wrapText="1"/>
    </xf>
    <xf numFmtId="0" fontId="18" fillId="0" borderId="0" xfId="0" applyFont="1" applyAlignment="1"/>
    <xf numFmtId="0" fontId="19" fillId="0" borderId="0" xfId="0" applyFont="1" applyAlignment="1">
      <alignment wrapText="1"/>
    </xf>
    <xf numFmtId="0" fontId="19" fillId="0" borderId="0" xfId="0" applyFont="1" applyAlignment="1"/>
    <xf numFmtId="0" fontId="20" fillId="0" borderId="0" xfId="0" applyFont="1" applyAlignment="1"/>
    <xf numFmtId="0" fontId="19" fillId="0" borderId="4" xfId="0" applyFont="1" applyBorder="1" applyAlignment="1">
      <alignment wrapText="1"/>
    </xf>
    <xf numFmtId="0" fontId="22" fillId="0" borderId="4" xfId="0" applyFont="1" applyBorder="1" applyAlignment="1"/>
    <xf numFmtId="0" fontId="23" fillId="0" borderId="4" xfId="0" applyFont="1" applyBorder="1" applyAlignment="1">
      <alignment horizontal="center"/>
    </xf>
    <xf numFmtId="0" fontId="20" fillId="0" borderId="4" xfId="0" applyFont="1" applyBorder="1" applyAlignment="1">
      <alignment horizontal="center"/>
    </xf>
    <xf numFmtId="0" fontId="24" fillId="0" borderId="7" xfId="0" applyFont="1" applyBorder="1" applyAlignment="1">
      <alignment wrapText="1"/>
    </xf>
    <xf numFmtId="165" fontId="25" fillId="0" borderId="10" xfId="3" applyNumberFormat="1" applyFont="1" applyBorder="1" applyAlignment="1" applyProtection="1"/>
    <xf numFmtId="37" fontId="20" fillId="0" borderId="10" xfId="0" applyNumberFormat="1" applyFont="1" applyBorder="1" applyAlignment="1"/>
    <xf numFmtId="0" fontId="24" fillId="4" borderId="7" xfId="0" applyFont="1" applyFill="1" applyBorder="1" applyAlignment="1">
      <alignment horizontal="left" wrapText="1"/>
    </xf>
    <xf numFmtId="165" fontId="25" fillId="0" borderId="10" xfId="0" applyNumberFormat="1" applyFont="1" applyBorder="1" applyAlignment="1"/>
    <xf numFmtId="0" fontId="25" fillId="0" borderId="7" xfId="0" applyFont="1" applyBorder="1" applyAlignment="1">
      <alignment wrapText="1"/>
    </xf>
    <xf numFmtId="37" fontId="25" fillId="0" borderId="10" xfId="0" applyNumberFormat="1" applyFont="1" applyBorder="1" applyAlignment="1"/>
    <xf numFmtId="164" fontId="19" fillId="0" borderId="0" xfId="3" applyFont="1" applyAlignment="1" applyProtection="1"/>
    <xf numFmtId="0" fontId="24" fillId="4" borderId="7" xfId="0" applyFont="1" applyFill="1" applyBorder="1" applyAlignment="1">
      <alignment wrapText="1"/>
    </xf>
    <xf numFmtId="165" fontId="19" fillId="0" borderId="0" xfId="3" applyNumberFormat="1" applyFont="1" applyAlignment="1" applyProtection="1"/>
    <xf numFmtId="37" fontId="24" fillId="0" borderId="11" xfId="0" applyNumberFormat="1" applyFont="1" applyBorder="1" applyAlignment="1"/>
    <xf numFmtId="37" fontId="20" fillId="0" borderId="11" xfId="0" applyNumberFormat="1" applyFont="1" applyBorder="1" applyAlignment="1"/>
    <xf numFmtId="0" fontId="25" fillId="0" borderId="7" xfId="0" applyFont="1" applyBorder="1" applyAlignment="1">
      <alignment vertical="center" wrapText="1"/>
    </xf>
    <xf numFmtId="0" fontId="26" fillId="0" borderId="0" xfId="0" applyFont="1" applyAlignment="1"/>
    <xf numFmtId="9" fontId="27" fillId="0" borderId="7" xfId="0" applyNumberFormat="1" applyFont="1" applyBorder="1" applyAlignment="1">
      <alignment horizontal="left" vertical="center" wrapText="1"/>
    </xf>
    <xf numFmtId="9" fontId="28" fillId="0" borderId="0" xfId="0" applyNumberFormat="1" applyFont="1" applyAlignment="1">
      <alignment horizontal="center" vertical="center"/>
    </xf>
    <xf numFmtId="37" fontId="24" fillId="0" borderId="10" xfId="0" applyNumberFormat="1" applyFont="1" applyBorder="1" applyAlignment="1"/>
    <xf numFmtId="9" fontId="28" fillId="0" borderId="7" xfId="0" applyNumberFormat="1" applyFont="1" applyBorder="1" applyAlignment="1">
      <alignment horizontal="left" vertical="center" wrapText="1"/>
    </xf>
    <xf numFmtId="9" fontId="28" fillId="0" borderId="10" xfId="0" applyNumberFormat="1" applyFont="1" applyBorder="1" applyAlignment="1">
      <alignment horizontal="right" vertical="center"/>
    </xf>
    <xf numFmtId="9" fontId="27" fillId="0" borderId="10" xfId="0" applyNumberFormat="1" applyFont="1" applyBorder="1" applyAlignment="1">
      <alignment horizontal="right" vertical="center"/>
    </xf>
    <xf numFmtId="9" fontId="28" fillId="0" borderId="0" xfId="0" applyNumberFormat="1" applyFont="1" applyAlignment="1">
      <alignment horizontal="right" vertical="center"/>
    </xf>
    <xf numFmtId="0" fontId="25" fillId="0" borderId="7" xfId="0" applyFont="1" applyBorder="1" applyAlignment="1">
      <alignment horizontal="left" vertical="top" wrapText="1"/>
    </xf>
    <xf numFmtId="0" fontId="29" fillId="0" borderId="7" xfId="0" applyFont="1" applyBorder="1" applyAlignment="1">
      <alignment wrapText="1"/>
    </xf>
    <xf numFmtId="37" fontId="29" fillId="0" borderId="10" xfId="0" applyNumberFormat="1" applyFont="1" applyBorder="1" applyAlignment="1"/>
    <xf numFmtId="0" fontId="30" fillId="0" borderId="0" xfId="0" applyFont="1" applyAlignment="1"/>
    <xf numFmtId="0" fontId="25" fillId="6" borderId="7" xfId="0" applyFont="1" applyFill="1" applyBorder="1" applyAlignment="1">
      <alignment wrapText="1"/>
    </xf>
    <xf numFmtId="0" fontId="19" fillId="6" borderId="0" xfId="0" applyFont="1" applyFill="1" applyAlignment="1"/>
    <xf numFmtId="0" fontId="24" fillId="0" borderId="7" xfId="0" applyFont="1" applyBorder="1" applyAlignment="1">
      <alignment horizontal="left" wrapText="1"/>
    </xf>
    <xf numFmtId="37" fontId="25" fillId="0" borderId="12" xfId="0" applyNumberFormat="1" applyFont="1" applyBorder="1" applyAlignment="1"/>
    <xf numFmtId="37" fontId="20" fillId="0" borderId="12" xfId="0" applyNumberFormat="1" applyFont="1" applyBorder="1" applyAlignment="1"/>
    <xf numFmtId="165" fontId="31" fillId="0" borderId="10" xfId="3" applyNumberFormat="1" applyFont="1" applyBorder="1" applyAlignment="1" applyProtection="1"/>
    <xf numFmtId="37" fontId="24" fillId="0" borderId="12" xfId="0" applyNumberFormat="1" applyFont="1" applyBorder="1" applyAlignment="1"/>
    <xf numFmtId="9" fontId="28" fillId="0" borderId="8" xfId="0" applyNumberFormat="1" applyFont="1" applyBorder="1" applyAlignment="1">
      <alignment horizontal="left" vertical="center" wrapText="1"/>
    </xf>
    <xf numFmtId="9" fontId="28" fillId="0" borderId="13" xfId="0" applyNumberFormat="1" applyFont="1" applyBorder="1" applyAlignment="1">
      <alignment horizontal="right" vertical="center"/>
    </xf>
    <xf numFmtId="9" fontId="27" fillId="0" borderId="13" xfId="0" applyNumberFormat="1" applyFont="1" applyBorder="1" applyAlignment="1">
      <alignment horizontal="right" vertical="center"/>
    </xf>
    <xf numFmtId="9" fontId="27" fillId="0" borderId="0" xfId="0" applyNumberFormat="1" applyFont="1" applyAlignment="1">
      <alignment horizontal="left" vertical="center" wrapText="1"/>
    </xf>
    <xf numFmtId="9" fontId="32" fillId="0" borderId="0" xfId="0" applyNumberFormat="1" applyFont="1">
      <alignment vertical="center"/>
    </xf>
    <xf numFmtId="9" fontId="28" fillId="0" borderId="0" xfId="0" applyNumberFormat="1" applyFont="1">
      <alignment vertical="center"/>
    </xf>
    <xf numFmtId="9" fontId="27" fillId="0" borderId="0" xfId="0" applyNumberFormat="1" applyFont="1">
      <alignment vertical="center"/>
    </xf>
    <xf numFmtId="9" fontId="33" fillId="0" borderId="0" xfId="0" applyNumberFormat="1" applyFont="1">
      <alignment vertical="center"/>
    </xf>
    <xf numFmtId="9" fontId="34" fillId="0" borderId="0" xfId="0" applyNumberFormat="1" applyFont="1">
      <alignment vertical="center"/>
    </xf>
    <xf numFmtId="9" fontId="35" fillId="0" borderId="0" xfId="0" applyNumberFormat="1" applyFont="1">
      <alignment vertical="center"/>
    </xf>
    <xf numFmtId="0" fontId="24" fillId="0" borderId="0" xfId="0" applyFont="1" applyAlignment="1"/>
    <xf numFmtId="9" fontId="36" fillId="0" borderId="0" xfId="0" applyNumberFormat="1" applyFont="1">
      <alignment vertical="center"/>
    </xf>
    <xf numFmtId="0" fontId="21" fillId="0" borderId="0" xfId="0" applyFont="1" applyAlignment="1"/>
    <xf numFmtId="0" fontId="31" fillId="0" borderId="0" xfId="0" applyFont="1" applyAlignment="1"/>
    <xf numFmtId="0" fontId="25" fillId="0" borderId="0" xfId="0" applyFont="1" applyAlignment="1"/>
    <xf numFmtId="0" fontId="37" fillId="0" borderId="0" xfId="0" applyFont="1" applyAlignment="1"/>
    <xf numFmtId="0" fontId="26" fillId="0" borderId="0" xfId="0" applyFont="1" applyAlignment="1">
      <alignment wrapText="1"/>
    </xf>
    <xf numFmtId="165" fontId="26" fillId="0" borderId="0" xfId="3" applyNumberFormat="1" applyFont="1" applyAlignment="1" applyProtection="1"/>
    <xf numFmtId="165" fontId="26" fillId="0" borderId="14" xfId="0" applyNumberFormat="1" applyFont="1" applyBorder="1" applyAlignment="1"/>
    <xf numFmtId="37" fontId="20" fillId="0" borderId="14" xfId="0" applyNumberFormat="1" applyFont="1" applyBorder="1" applyAlignment="1"/>
    <xf numFmtId="0" fontId="20" fillId="0" borderId="4" xfId="0" applyFont="1" applyBorder="1" applyAlignment="1">
      <alignment horizontal="right"/>
    </xf>
    <xf numFmtId="0" fontId="38" fillId="0" borderId="4" xfId="0" applyFont="1" applyBorder="1" applyAlignment="1"/>
    <xf numFmtId="0" fontId="39" fillId="0" borderId="4" xfId="0" applyFont="1" applyBorder="1" applyAlignment="1">
      <alignment horizontal="right"/>
    </xf>
    <xf numFmtId="0" fontId="40" fillId="0" borderId="4" xfId="0" applyFont="1" applyBorder="1" applyAlignment="1"/>
    <xf numFmtId="165" fontId="40" fillId="0" borderId="4" xfId="3" applyNumberFormat="1" applyFont="1" applyBorder="1" applyAlignment="1" applyProtection="1">
      <alignment horizontal="right"/>
    </xf>
    <xf numFmtId="165" fontId="20" fillId="0" borderId="4" xfId="3" applyNumberFormat="1" applyFont="1" applyBorder="1" applyAlignment="1" applyProtection="1">
      <alignment horizontal="right"/>
    </xf>
    <xf numFmtId="0" fontId="38" fillId="0" borderId="15" xfId="0" applyFont="1" applyBorder="1" applyAlignment="1"/>
    <xf numFmtId="165" fontId="41" fillId="0" borderId="15" xfId="3" applyNumberFormat="1" applyFont="1" applyBorder="1" applyAlignment="1" applyProtection="1">
      <alignment horizontal="right"/>
    </xf>
    <xf numFmtId="165" fontId="20" fillId="0" borderId="15" xfId="3" applyNumberFormat="1" applyFont="1" applyBorder="1" applyAlignment="1" applyProtection="1">
      <alignment horizontal="right"/>
    </xf>
    <xf numFmtId="0" fontId="22" fillId="0" borderId="0" xfId="0" applyFont="1" applyAlignment="1"/>
    <xf numFmtId="165" fontId="42" fillId="0" borderId="0" xfId="3" applyNumberFormat="1" applyFont="1" applyAlignment="1" applyProtection="1"/>
    <xf numFmtId="37" fontId="26" fillId="0" borderId="0" xfId="0" applyNumberFormat="1" applyFont="1" applyAlignment="1"/>
    <xf numFmtId="17" fontId="20" fillId="0" borderId="0" xfId="0" applyNumberFormat="1" applyFont="1" applyAlignment="1">
      <alignment horizontal="center"/>
    </xf>
    <xf numFmtId="0" fontId="20" fillId="0" borderId="0" xfId="0" applyFont="1" applyAlignment="1">
      <alignment horizontal="center"/>
    </xf>
    <xf numFmtId="0" fontId="24" fillId="0" borderId="0" xfId="0" applyFont="1" applyAlignment="1">
      <alignment wrapText="1"/>
    </xf>
    <xf numFmtId="164" fontId="25" fillId="0" borderId="0" xfId="0" applyNumberFormat="1" applyFont="1" applyAlignment="1"/>
    <xf numFmtId="0" fontId="25" fillId="0" borderId="0" xfId="0" applyFont="1" applyAlignment="1">
      <alignment vertical="center" wrapText="1"/>
    </xf>
    <xf numFmtId="165" fontId="25" fillId="0" borderId="0" xfId="3" applyNumberFormat="1" applyFont="1" applyAlignment="1" applyProtection="1"/>
    <xf numFmtId="37" fontId="24" fillId="0" borderId="0" xfId="0" applyNumberFormat="1" applyFont="1" applyAlignment="1"/>
    <xf numFmtId="165" fontId="24" fillId="0" borderId="0" xfId="3" applyNumberFormat="1" applyFont="1" applyAlignment="1" applyProtection="1"/>
    <xf numFmtId="166" fontId="24" fillId="0" borderId="0" xfId="0" applyNumberFormat="1" applyFont="1" applyAlignment="1"/>
    <xf numFmtId="165" fontId="25" fillId="0" borderId="0" xfId="0" applyNumberFormat="1" applyFont="1" applyAlignment="1"/>
    <xf numFmtId="0" fontId="43" fillId="0" borderId="0" xfId="0" applyFont="1" applyAlignment="1"/>
    <xf numFmtId="0" fontId="27" fillId="0" borderId="0" xfId="0" applyFont="1" applyAlignment="1"/>
    <xf numFmtId="9" fontId="27" fillId="0" borderId="0" xfId="4" applyFont="1" applyAlignment="1" applyProtection="1"/>
    <xf numFmtId="9" fontId="34" fillId="0" borderId="0" xfId="4" applyFont="1" applyAlignment="1" applyProtection="1"/>
    <xf numFmtId="0" fontId="44" fillId="0" borderId="0" xfId="0" applyFont="1" applyAlignment="1"/>
    <xf numFmtId="37" fontId="25" fillId="0" borderId="0" xfId="0" applyNumberFormat="1" applyFont="1" applyAlignment="1"/>
    <xf numFmtId="0" fontId="25" fillId="0" borderId="0" xfId="0" applyFont="1" applyAlignment="1">
      <alignment horizontal="left" vertical="top" wrapText="1"/>
    </xf>
    <xf numFmtId="0" fontId="29" fillId="0" borderId="0" xfId="0" applyFont="1" applyAlignment="1">
      <alignment vertical="center" wrapText="1"/>
    </xf>
    <xf numFmtId="165" fontId="29" fillId="0" borderId="0" xfId="3" applyNumberFormat="1" applyFont="1" applyAlignment="1" applyProtection="1"/>
    <xf numFmtId="37" fontId="45" fillId="0" borderId="0" xfId="0" applyNumberFormat="1" applyFont="1" applyAlignment="1"/>
    <xf numFmtId="0" fontId="25" fillId="0" borderId="0" xfId="0" applyFont="1" applyAlignment="1">
      <alignment horizontal="left" vertical="center" wrapText="1"/>
    </xf>
    <xf numFmtId="0" fontId="24" fillId="0" borderId="0" xfId="0" applyFont="1" applyAlignment="1">
      <alignment horizontal="left"/>
    </xf>
    <xf numFmtId="0" fontId="25" fillId="0" borderId="0" xfId="0" applyFont="1" applyAlignment="1">
      <alignment wrapText="1"/>
    </xf>
    <xf numFmtId="0" fontId="46" fillId="0" borderId="0" xfId="0" applyFont="1" applyAlignment="1"/>
    <xf numFmtId="0" fontId="47" fillId="0" borderId="0" xfId="0" applyFont="1" applyAlignment="1"/>
    <xf numFmtId="165" fontId="47" fillId="0" borderId="0" xfId="3" applyNumberFormat="1" applyFont="1" applyAlignment="1" applyProtection="1"/>
    <xf numFmtId="9" fontId="19" fillId="0" borderId="0" xfId="4" applyFont="1" applyAlignment="1" applyProtection="1"/>
    <xf numFmtId="37" fontId="23" fillId="0" borderId="0" xfId="0" applyNumberFormat="1" applyFont="1" applyAlignment="1"/>
    <xf numFmtId="37" fontId="48" fillId="0" borderId="0" xfId="0" applyNumberFormat="1" applyFont="1" applyAlignment="1"/>
    <xf numFmtId="0" fontId="39" fillId="0" borderId="0" xfId="0" applyFont="1" applyAlignment="1"/>
    <xf numFmtId="17" fontId="49" fillId="0" borderId="16" xfId="0" applyNumberFormat="1" applyFont="1" applyBorder="1" applyAlignment="1">
      <alignment horizontal="center"/>
    </xf>
    <xf numFmtId="0" fontId="20" fillId="0" borderId="16" xfId="0" applyFont="1" applyBorder="1" applyAlignment="1">
      <alignment horizontal="center"/>
    </xf>
    <xf numFmtId="0" fontId="50" fillId="0" borderId="16" xfId="0" applyFont="1" applyBorder="1" applyAlignment="1">
      <alignment horizontal="center"/>
    </xf>
    <xf numFmtId="0" fontId="24" fillId="0" borderId="16" xfId="0" applyFont="1" applyBorder="1" applyAlignment="1">
      <alignment horizontal="center"/>
    </xf>
    <xf numFmtId="0" fontId="25" fillId="0" borderId="10" xfId="0" applyFont="1" applyBorder="1" applyAlignment="1"/>
    <xf numFmtId="0" fontId="20" fillId="0" borderId="10" xfId="0" applyFont="1" applyBorder="1" applyAlignment="1"/>
    <xf numFmtId="0" fontId="50" fillId="0" borderId="10" xfId="0" applyFont="1" applyBorder="1" applyAlignment="1"/>
    <xf numFmtId="0" fontId="24" fillId="0" borderId="10" xfId="0" applyFont="1" applyBorder="1" applyAlignment="1"/>
    <xf numFmtId="0" fontId="24" fillId="0" borderId="0" xfId="0" applyFont="1" applyAlignment="1">
      <alignment horizontal="left" wrapText="1"/>
    </xf>
    <xf numFmtId="37" fontId="50" fillId="0" borderId="10" xfId="0" applyNumberFormat="1" applyFont="1" applyBorder="1" applyAlignment="1"/>
    <xf numFmtId="165" fontId="24" fillId="0" borderId="11" xfId="0" applyNumberFormat="1" applyFont="1" applyBorder="1" applyAlignment="1"/>
    <xf numFmtId="165" fontId="20" fillId="0" borderId="11" xfId="0" applyNumberFormat="1" applyFont="1" applyBorder="1" applyAlignment="1"/>
    <xf numFmtId="165" fontId="50" fillId="0" borderId="11" xfId="0" applyNumberFormat="1" applyFont="1" applyBorder="1" applyAlignment="1"/>
    <xf numFmtId="9" fontId="25" fillId="0" borderId="10" xfId="4" applyFont="1" applyBorder="1" applyAlignment="1" applyProtection="1"/>
    <xf numFmtId="37" fontId="50" fillId="0" borderId="11" xfId="0" applyNumberFormat="1" applyFont="1" applyBorder="1" applyAlignment="1"/>
    <xf numFmtId="9" fontId="27" fillId="0" borderId="10" xfId="0" applyNumberFormat="1" applyFont="1" applyBorder="1" applyAlignment="1">
      <alignment horizontal="center" vertical="center"/>
    </xf>
    <xf numFmtId="9" fontId="51" fillId="0" borderId="10" xfId="0" applyNumberFormat="1" applyFont="1" applyBorder="1" applyAlignment="1">
      <alignment horizontal="center" vertical="center"/>
    </xf>
    <xf numFmtId="9" fontId="32" fillId="0" borderId="10" xfId="0" applyNumberFormat="1" applyFont="1" applyBorder="1" applyAlignment="1">
      <alignment horizontal="center" vertical="center"/>
    </xf>
    <xf numFmtId="9" fontId="27" fillId="0" borderId="10" xfId="0" applyNumberFormat="1" applyFont="1" applyBorder="1">
      <alignment vertical="center"/>
    </xf>
    <xf numFmtId="37" fontId="50" fillId="0" borderId="12" xfId="0" applyNumberFormat="1" applyFont="1" applyBorder="1" applyAlignment="1"/>
    <xf numFmtId="9" fontId="27" fillId="0" borderId="17" xfId="0" applyNumberFormat="1" applyFont="1" applyBorder="1">
      <alignment vertical="center"/>
    </xf>
    <xf numFmtId="37" fontId="39" fillId="0" borderId="0" xfId="0" applyNumberFormat="1" applyFont="1" applyAlignment="1"/>
    <xf numFmtId="0" fontId="50" fillId="0" borderId="0" xfId="0" applyFont="1" applyAlignment="1"/>
    <xf numFmtId="0" fontId="52" fillId="0" borderId="0" xfId="0" applyFont="1" applyAlignment="1"/>
    <xf numFmtId="37" fontId="31" fillId="0" borderId="0" xfId="0" applyNumberFormat="1" applyFont="1" applyAlignment="1"/>
    <xf numFmtId="17" fontId="20" fillId="0" borderId="16" xfId="0" applyNumberFormat="1" applyFont="1" applyBorder="1" applyAlignment="1">
      <alignment horizontal="center"/>
    </xf>
    <xf numFmtId="164" fontId="25" fillId="0" borderId="10" xfId="0" applyNumberFormat="1" applyFont="1" applyBorder="1" applyAlignment="1"/>
    <xf numFmtId="165" fontId="24" fillId="0" borderId="11" xfId="3" applyNumberFormat="1" applyFont="1" applyBorder="1" applyAlignment="1" applyProtection="1"/>
    <xf numFmtId="166" fontId="24" fillId="0" borderId="10" xfId="0" applyNumberFormat="1" applyFont="1" applyBorder="1" applyAlignment="1"/>
    <xf numFmtId="9" fontId="27" fillId="0" borderId="10" xfId="4" applyFont="1" applyBorder="1" applyAlignment="1" applyProtection="1"/>
    <xf numFmtId="9" fontId="34" fillId="0" borderId="10" xfId="4" applyFont="1" applyBorder="1" applyAlignment="1" applyProtection="1"/>
    <xf numFmtId="37" fontId="24" fillId="0" borderId="18" xfId="0" applyNumberFormat="1" applyFont="1" applyBorder="1" applyAlignment="1"/>
    <xf numFmtId="165" fontId="29" fillId="0" borderId="10" xfId="3" applyNumberFormat="1" applyFont="1" applyBorder="1" applyAlignment="1" applyProtection="1"/>
    <xf numFmtId="37" fontId="45" fillId="0" borderId="10" xfId="0" applyNumberFormat="1" applyFont="1" applyBorder="1" applyAlignment="1"/>
    <xf numFmtId="0" fontId="53" fillId="0" borderId="0" xfId="0" applyFont="1" applyAlignment="1"/>
    <xf numFmtId="165" fontId="53" fillId="0" borderId="0" xfId="3" applyNumberFormat="1" applyFont="1" applyAlignment="1" applyProtection="1"/>
    <xf numFmtId="0" fontId="54" fillId="0" borderId="0" xfId="0" applyFont="1" applyAlignment="1"/>
    <xf numFmtId="0" fontId="56" fillId="0" borderId="19" xfId="0" applyFont="1" applyBorder="1" applyAlignment="1"/>
    <xf numFmtId="165" fontId="57" fillId="0" borderId="0" xfId="3" applyNumberFormat="1" applyFont="1" applyAlignment="1" applyProtection="1">
      <alignment horizontal="center"/>
    </xf>
    <xf numFmtId="9" fontId="54" fillId="0" borderId="0" xfId="0" applyNumberFormat="1" applyFont="1" applyAlignment="1"/>
    <xf numFmtId="9" fontId="54" fillId="0" borderId="19" xfId="0" applyNumberFormat="1" applyFont="1" applyBorder="1" applyAlignment="1"/>
    <xf numFmtId="0" fontId="54" fillId="0" borderId="19" xfId="0" applyFont="1" applyBorder="1" applyAlignment="1"/>
    <xf numFmtId="9" fontId="54" fillId="7" borderId="3" xfId="0" applyNumberFormat="1" applyFont="1" applyFill="1" applyBorder="1" applyAlignment="1"/>
    <xf numFmtId="0" fontId="54" fillId="3" borderId="3" xfId="0" applyFont="1" applyFill="1" applyBorder="1" applyAlignment="1"/>
    <xf numFmtId="0" fontId="54" fillId="0" borderId="3" xfId="0" applyFont="1" applyBorder="1" applyAlignment="1"/>
    <xf numFmtId="0" fontId="58" fillId="0" borderId="0" xfId="0" applyFont="1">
      <alignment vertical="center"/>
    </xf>
    <xf numFmtId="0" fontId="58" fillId="0" borderId="19" xfId="0" applyFont="1" applyBorder="1" applyAlignment="1">
      <alignment vertical="center" wrapText="1"/>
    </xf>
    <xf numFmtId="165" fontId="59" fillId="7" borderId="20" xfId="3" applyNumberFormat="1" applyFont="1" applyFill="1" applyBorder="1" applyAlignment="1" applyProtection="1">
      <alignment horizontal="center" vertical="center" wrapText="1"/>
    </xf>
    <xf numFmtId="9" fontId="59" fillId="7" borderId="21" xfId="0" applyNumberFormat="1" applyFont="1" applyFill="1" applyBorder="1" applyAlignment="1">
      <alignment horizontal="center" vertical="center" wrapText="1"/>
    </xf>
    <xf numFmtId="9" fontId="58" fillId="7" borderId="6" xfId="0" applyNumberFormat="1" applyFont="1" applyFill="1" applyBorder="1" applyAlignment="1">
      <alignment vertical="center" wrapText="1"/>
    </xf>
    <xf numFmtId="165" fontId="59" fillId="3" borderId="21" xfId="3" applyNumberFormat="1" applyFont="1" applyFill="1" applyBorder="1" applyAlignment="1" applyProtection="1">
      <alignment horizontal="center" vertical="center" wrapText="1"/>
    </xf>
    <xf numFmtId="9" fontId="59" fillId="3" borderId="21" xfId="0" applyNumberFormat="1" applyFont="1" applyFill="1" applyBorder="1" applyAlignment="1">
      <alignment horizontal="center" vertical="center" wrapText="1"/>
    </xf>
    <xf numFmtId="0" fontId="58" fillId="3" borderId="6" xfId="0" applyFont="1" applyFill="1" applyBorder="1" applyAlignment="1">
      <alignment vertical="center" wrapText="1"/>
    </xf>
    <xf numFmtId="165" fontId="59" fillId="0" borderId="21" xfId="3" applyNumberFormat="1" applyFont="1" applyBorder="1" applyAlignment="1" applyProtection="1">
      <alignment horizontal="center" vertical="center" wrapText="1"/>
    </xf>
    <xf numFmtId="9" fontId="59" fillId="0" borderId="21" xfId="0" applyNumberFormat="1" applyFont="1" applyBorder="1" applyAlignment="1">
      <alignment horizontal="center" vertical="center" wrapText="1"/>
    </xf>
    <xf numFmtId="0" fontId="58" fillId="0" borderId="6" xfId="0" applyFont="1" applyBorder="1" applyAlignment="1">
      <alignment vertical="center" wrapText="1"/>
    </xf>
    <xf numFmtId="0" fontId="60" fillId="0" borderId="0" xfId="0" applyFont="1" applyAlignment="1"/>
    <xf numFmtId="0" fontId="60" fillId="0" borderId="19" xfId="0" applyFont="1" applyBorder="1" applyAlignment="1"/>
    <xf numFmtId="165" fontId="61" fillId="7" borderId="22" xfId="3" applyNumberFormat="1" applyFont="1" applyFill="1" applyBorder="1" applyAlignment="1" applyProtection="1">
      <alignment horizontal="center"/>
    </xf>
    <xf numFmtId="9" fontId="61" fillId="7" borderId="23" xfId="0" applyNumberFormat="1" applyFont="1" applyFill="1" applyBorder="1" applyAlignment="1">
      <alignment horizontal="center"/>
    </xf>
    <xf numFmtId="9" fontId="60" fillId="7" borderId="9" xfId="0" applyNumberFormat="1" applyFont="1" applyFill="1" applyBorder="1" applyAlignment="1"/>
    <xf numFmtId="165" fontId="61" fillId="3" borderId="23" xfId="3" applyNumberFormat="1" applyFont="1" applyFill="1" applyBorder="1" applyAlignment="1" applyProtection="1">
      <alignment horizontal="center"/>
    </xf>
    <xf numFmtId="9" fontId="61" fillId="3" borderId="23" xfId="0" applyNumberFormat="1" applyFont="1" applyFill="1" applyBorder="1" applyAlignment="1">
      <alignment horizontal="center"/>
    </xf>
    <xf numFmtId="0" fontId="60" fillId="3" borderId="9" xfId="0" applyFont="1" applyFill="1" applyBorder="1" applyAlignment="1"/>
    <xf numFmtId="165" fontId="61" fillId="0" borderId="23" xfId="3" applyNumberFormat="1" applyFont="1" applyBorder="1" applyAlignment="1" applyProtection="1">
      <alignment horizontal="center"/>
    </xf>
    <xf numFmtId="9" fontId="61" fillId="0" borderId="23" xfId="0" applyNumberFormat="1" applyFont="1" applyBorder="1" applyAlignment="1">
      <alignment horizontal="center"/>
    </xf>
    <xf numFmtId="0" fontId="60" fillId="0" borderId="9" xfId="0" applyFont="1" applyBorder="1" applyAlignment="1"/>
    <xf numFmtId="0" fontId="62" fillId="0" borderId="19" xfId="0" applyFont="1" applyBorder="1" applyAlignment="1"/>
    <xf numFmtId="165" fontId="63" fillId="7" borderId="0" xfId="3" applyNumberFormat="1" applyFont="1" applyFill="1" applyAlignment="1" applyProtection="1"/>
    <xf numFmtId="9" fontId="57" fillId="7" borderId="0" xfId="0" applyNumberFormat="1" applyFont="1" applyFill="1" applyAlignment="1">
      <alignment horizontal="center"/>
    </xf>
    <xf numFmtId="9" fontId="63" fillId="7" borderId="19" xfId="0" applyNumberFormat="1" applyFont="1" applyFill="1" applyBorder="1" applyAlignment="1"/>
    <xf numFmtId="165" fontId="63" fillId="3" borderId="0" xfId="3" applyNumberFormat="1" applyFont="1" applyFill="1" applyAlignment="1" applyProtection="1"/>
    <xf numFmtId="9" fontId="57" fillId="3" borderId="0" xfId="0" applyNumberFormat="1" applyFont="1" applyFill="1" applyAlignment="1">
      <alignment horizontal="center"/>
    </xf>
    <xf numFmtId="0" fontId="63" fillId="3" borderId="19" xfId="0" applyFont="1" applyFill="1" applyBorder="1" applyAlignment="1"/>
    <xf numFmtId="165" fontId="63" fillId="0" borderId="0" xfId="3" applyNumberFormat="1" applyFont="1" applyAlignment="1" applyProtection="1"/>
    <xf numFmtId="9" fontId="64" fillId="0" borderId="0" xfId="0" applyNumberFormat="1" applyFont="1" applyAlignment="1">
      <alignment horizontal="center"/>
    </xf>
    <xf numFmtId="0" fontId="63" fillId="0" borderId="19" xfId="0" applyFont="1" applyBorder="1" applyAlignment="1"/>
    <xf numFmtId="165" fontId="62" fillId="7" borderId="14" xfId="3" applyNumberFormat="1" applyFont="1" applyFill="1" applyBorder="1" applyAlignment="1" applyProtection="1"/>
    <xf numFmtId="165" fontId="62" fillId="3" borderId="14" xfId="3" applyNumberFormat="1" applyFont="1" applyFill="1" applyBorder="1" applyAlignment="1" applyProtection="1"/>
    <xf numFmtId="165" fontId="62" fillId="0" borderId="14" xfId="3" applyNumberFormat="1" applyFont="1" applyBorder="1" applyAlignment="1" applyProtection="1"/>
    <xf numFmtId="165" fontId="65" fillId="7" borderId="0" xfId="3" applyNumberFormat="1" applyFont="1" applyFill="1" applyAlignment="1" applyProtection="1"/>
    <xf numFmtId="9" fontId="65" fillId="7" borderId="19" xfId="0" applyNumberFormat="1" applyFont="1" applyFill="1" applyBorder="1" applyAlignment="1"/>
    <xf numFmtId="165" fontId="65" fillId="3" borderId="0" xfId="3" applyNumberFormat="1" applyFont="1" applyFill="1" applyAlignment="1" applyProtection="1"/>
    <xf numFmtId="0" fontId="65" fillId="3" borderId="19" xfId="0" applyFont="1" applyFill="1" applyBorder="1" applyAlignment="1"/>
    <xf numFmtId="165" fontId="65" fillId="0" borderId="0" xfId="3" applyNumberFormat="1" applyFont="1" applyAlignment="1" applyProtection="1"/>
    <xf numFmtId="0" fontId="65" fillId="0" borderId="19" xfId="0" applyFont="1" applyBorder="1" applyAlignment="1"/>
    <xf numFmtId="0" fontId="66" fillId="0" borderId="19" xfId="0" applyFont="1" applyBorder="1" applyAlignment="1"/>
    <xf numFmtId="167" fontId="57" fillId="7" borderId="0" xfId="4" applyNumberFormat="1" applyFont="1" applyFill="1" applyAlignment="1" applyProtection="1">
      <alignment horizontal="right"/>
    </xf>
    <xf numFmtId="9" fontId="66" fillId="7" borderId="0" xfId="4" applyFont="1" applyFill="1" applyAlignment="1" applyProtection="1">
      <alignment horizontal="center"/>
    </xf>
    <xf numFmtId="9" fontId="66" fillId="7" borderId="19" xfId="4" applyFont="1" applyFill="1" applyBorder="1" applyAlignment="1" applyProtection="1">
      <alignment horizontal="center"/>
    </xf>
    <xf numFmtId="167" fontId="57" fillId="3" borderId="0" xfId="4" applyNumberFormat="1" applyFont="1" applyFill="1" applyAlignment="1" applyProtection="1">
      <alignment horizontal="right"/>
    </xf>
    <xf numFmtId="9" fontId="66" fillId="3" borderId="0" xfId="4" applyFont="1" applyFill="1" applyAlignment="1" applyProtection="1">
      <alignment horizontal="center"/>
    </xf>
    <xf numFmtId="9" fontId="66" fillId="3" borderId="19" xfId="4" applyFont="1" applyFill="1" applyBorder="1" applyAlignment="1" applyProtection="1">
      <alignment horizontal="center"/>
    </xf>
    <xf numFmtId="167" fontId="57" fillId="0" borderId="0" xfId="4" applyNumberFormat="1" applyFont="1" applyAlignment="1" applyProtection="1">
      <alignment horizontal="right"/>
    </xf>
    <xf numFmtId="9" fontId="66" fillId="0" borderId="0" xfId="0" applyNumberFormat="1" applyFont="1" applyAlignment="1"/>
    <xf numFmtId="9" fontId="66" fillId="0" borderId="19" xfId="4" applyFont="1" applyBorder="1" applyAlignment="1" applyProtection="1">
      <alignment horizontal="center"/>
    </xf>
    <xf numFmtId="165" fontId="62" fillId="7" borderId="2" xfId="3" applyNumberFormat="1" applyFont="1" applyFill="1" applyBorder="1" applyAlignment="1" applyProtection="1"/>
    <xf numFmtId="167" fontId="57" fillId="7" borderId="0" xfId="4" applyNumberFormat="1" applyFont="1" applyFill="1" applyAlignment="1" applyProtection="1">
      <alignment horizontal="center"/>
    </xf>
    <xf numFmtId="165" fontId="62" fillId="3" borderId="2" xfId="3" applyNumberFormat="1" applyFont="1" applyFill="1" applyBorder="1" applyAlignment="1" applyProtection="1"/>
    <xf numFmtId="167" fontId="57" fillId="3" borderId="0" xfId="4" applyNumberFormat="1" applyFont="1" applyFill="1" applyAlignment="1" applyProtection="1">
      <alignment horizontal="center"/>
    </xf>
    <xf numFmtId="165" fontId="62" fillId="0" borderId="2" xfId="3" applyNumberFormat="1" applyFont="1" applyBorder="1" applyAlignment="1" applyProtection="1"/>
    <xf numFmtId="167" fontId="57" fillId="0" borderId="0" xfId="4" applyNumberFormat="1" applyFont="1" applyAlignment="1" applyProtection="1">
      <alignment horizontal="center"/>
    </xf>
    <xf numFmtId="37" fontId="63" fillId="0" borderId="19" xfId="0" applyNumberFormat="1" applyFont="1" applyBorder="1" applyAlignment="1"/>
    <xf numFmtId="164" fontId="63" fillId="0" borderId="19" xfId="0" applyNumberFormat="1" applyFont="1" applyBorder="1" applyAlignment="1"/>
    <xf numFmtId="0" fontId="62" fillId="0" borderId="19" xfId="0" applyFont="1" applyBorder="1" applyAlignment="1">
      <alignment horizontal="left"/>
    </xf>
    <xf numFmtId="165" fontId="62" fillId="7" borderId="24" xfId="3" applyNumberFormat="1" applyFont="1" applyFill="1" applyBorder="1" applyAlignment="1" applyProtection="1"/>
    <xf numFmtId="165" fontId="62" fillId="3" borderId="24" xfId="3" applyNumberFormat="1" applyFont="1" applyFill="1" applyBorder="1" applyAlignment="1" applyProtection="1"/>
    <xf numFmtId="165" fontId="62" fillId="0" borderId="24" xfId="3" applyNumberFormat="1" applyFont="1" applyBorder="1" applyAlignment="1" applyProtection="1"/>
    <xf numFmtId="0" fontId="57" fillId="0" borderId="19" xfId="0" applyFont="1" applyBorder="1" applyAlignment="1"/>
    <xf numFmtId="165" fontId="57" fillId="7" borderId="24" xfId="3" applyNumberFormat="1" applyFont="1" applyFill="1" applyBorder="1" applyAlignment="1" applyProtection="1"/>
    <xf numFmtId="9" fontId="54" fillId="7" borderId="19" xfId="0" applyNumberFormat="1" applyFont="1" applyFill="1" applyBorder="1" applyAlignment="1"/>
    <xf numFmtId="165" fontId="57" fillId="3" borderId="24" xfId="3" applyNumberFormat="1" applyFont="1" applyFill="1" applyBorder="1" applyAlignment="1" applyProtection="1"/>
    <xf numFmtId="0" fontId="54" fillId="3" borderId="19" xfId="0" applyFont="1" applyFill="1" applyBorder="1" applyAlignment="1"/>
    <xf numFmtId="165" fontId="57" fillId="0" borderId="24" xfId="3" applyNumberFormat="1" applyFont="1" applyBorder="1" applyAlignment="1" applyProtection="1"/>
    <xf numFmtId="37" fontId="54" fillId="0" borderId="0" xfId="0" applyNumberFormat="1" applyFont="1" applyAlignment="1"/>
    <xf numFmtId="0" fontId="67" fillId="0" borderId="0" xfId="0" applyFont="1" applyAlignment="1"/>
    <xf numFmtId="165" fontId="67" fillId="7" borderId="25" xfId="3" applyNumberFormat="1" applyFont="1" applyFill="1" applyBorder="1" applyAlignment="1" applyProtection="1">
      <alignment horizontal="center"/>
    </xf>
    <xf numFmtId="167" fontId="67" fillId="7" borderId="0" xfId="4" applyNumberFormat="1" applyFont="1" applyFill="1" applyAlignment="1" applyProtection="1">
      <alignment horizontal="center"/>
    </xf>
    <xf numFmtId="165" fontId="67" fillId="3" borderId="25" xfId="3" applyNumberFormat="1" applyFont="1" applyFill="1" applyBorder="1" applyAlignment="1" applyProtection="1">
      <alignment horizontal="center"/>
    </xf>
    <xf numFmtId="167" fontId="67" fillId="3" borderId="0" xfId="4" applyNumberFormat="1" applyFont="1" applyFill="1" applyAlignment="1" applyProtection="1">
      <alignment horizontal="center"/>
    </xf>
    <xf numFmtId="165" fontId="67" fillId="0" borderId="25" xfId="3" applyNumberFormat="1" applyFont="1" applyBorder="1" applyAlignment="1" applyProtection="1">
      <alignment horizontal="center"/>
    </xf>
    <xf numFmtId="9" fontId="67" fillId="0" borderId="0" xfId="0" applyNumberFormat="1" applyFont="1" applyAlignment="1"/>
    <xf numFmtId="0" fontId="63" fillId="0" borderId="0" xfId="0" applyFont="1" applyAlignment="1"/>
    <xf numFmtId="165" fontId="63" fillId="7" borderId="22" xfId="3" applyNumberFormat="1" applyFont="1" applyFill="1" applyBorder="1" applyAlignment="1" applyProtection="1"/>
    <xf numFmtId="9" fontId="63" fillId="7" borderId="0" xfId="0" applyNumberFormat="1" applyFont="1" applyFill="1" applyAlignment="1"/>
    <xf numFmtId="165" fontId="63" fillId="3" borderId="22" xfId="3" applyNumberFormat="1" applyFont="1" applyFill="1" applyBorder="1" applyAlignment="1" applyProtection="1"/>
    <xf numFmtId="0" fontId="63" fillId="3" borderId="0" xfId="0" applyFont="1" applyFill="1" applyAlignment="1"/>
    <xf numFmtId="165" fontId="63" fillId="0" borderId="22" xfId="3" applyNumberFormat="1" applyFont="1" applyBorder="1" applyAlignment="1" applyProtection="1"/>
    <xf numFmtId="0" fontId="53" fillId="7" borderId="0" xfId="0" applyFont="1" applyFill="1" applyAlignment="1"/>
    <xf numFmtId="0" fontId="53" fillId="3" borderId="0" xfId="0" applyFont="1" applyFill="1" applyAlignment="1"/>
    <xf numFmtId="0" fontId="68" fillId="0" borderId="0" xfId="0" applyFont="1" applyAlignment="1"/>
    <xf numFmtId="0" fontId="69" fillId="0" borderId="0" xfId="0" applyFont="1" applyAlignment="1"/>
    <xf numFmtId="49" fontId="71" fillId="0" borderId="29" xfId="0" applyNumberFormat="1" applyFont="1" applyBorder="1" applyAlignment="1">
      <alignment horizontal="center"/>
    </xf>
    <xf numFmtId="165" fontId="71" fillId="0" borderId="29" xfId="5" applyNumberFormat="1" applyFont="1" applyBorder="1" applyAlignment="1" applyProtection="1">
      <alignment horizontal="right"/>
    </xf>
    <xf numFmtId="49" fontId="72" fillId="0" borderId="29" xfId="0" applyNumberFormat="1" applyFont="1" applyBorder="1" applyAlignment="1"/>
    <xf numFmtId="165" fontId="72" fillId="0" borderId="29" xfId="5" applyNumberFormat="1" applyFont="1" applyBorder="1" applyAlignment="1" applyProtection="1"/>
    <xf numFmtId="165" fontId="73" fillId="0" borderId="29" xfId="5" applyNumberFormat="1" applyFont="1" applyBorder="1" applyAlignment="1" applyProtection="1"/>
    <xf numFmtId="165" fontId="74" fillId="0" borderId="29" xfId="5" applyNumberFormat="1" applyFont="1" applyBorder="1" applyAlignment="1" applyProtection="1"/>
    <xf numFmtId="49" fontId="75" fillId="0" borderId="29" xfId="0" applyNumberFormat="1" applyFont="1" applyBorder="1" applyAlignment="1"/>
    <xf numFmtId="165" fontId="75" fillId="0" borderId="29" xfId="5" applyNumberFormat="1" applyFont="1" applyBorder="1" applyAlignment="1" applyProtection="1"/>
    <xf numFmtId="49" fontId="76" fillId="0" borderId="29" xfId="0" applyNumberFormat="1" applyFont="1" applyBorder="1" applyAlignment="1"/>
    <xf numFmtId="9" fontId="76" fillId="0" borderId="29" xfId="6" applyFont="1" applyBorder="1" applyAlignment="1" applyProtection="1"/>
    <xf numFmtId="165" fontId="76" fillId="0" borderId="29" xfId="5" applyNumberFormat="1" applyFont="1" applyBorder="1" applyAlignment="1" applyProtection="1"/>
    <xf numFmtId="49" fontId="7" fillId="0" borderId="20" xfId="0" applyNumberFormat="1" applyFont="1" applyBorder="1" applyAlignment="1">
      <alignment horizontal="left"/>
    </xf>
    <xf numFmtId="49" fontId="7" fillId="0" borderId="30" xfId="0" applyNumberFormat="1" applyFont="1" applyBorder="1" applyAlignment="1">
      <alignment horizontal="left"/>
    </xf>
    <xf numFmtId="0" fontId="1" fillId="0" borderId="30" xfId="0" applyFont="1" applyBorder="1" applyAlignment="1"/>
    <xf numFmtId="0" fontId="1" fillId="0" borderId="1" xfId="0" applyFont="1" applyBorder="1" applyAlignment="1"/>
    <xf numFmtId="0" fontId="1" fillId="0" borderId="5" xfId="0" applyFont="1" applyBorder="1" applyAlignment="1"/>
    <xf numFmtId="165" fontId="2" fillId="0" borderId="19" xfId="3" applyNumberFormat="1" applyFont="1" applyBorder="1" applyAlignment="1" applyProtection="1"/>
    <xf numFmtId="165" fontId="2" fillId="0" borderId="9" xfId="3" applyNumberFormat="1" applyFont="1" applyBorder="1" applyAlignment="1" applyProtection="1"/>
    <xf numFmtId="0" fontId="1" fillId="0" borderId="22" xfId="0" applyFont="1" applyBorder="1" applyAlignment="1"/>
    <xf numFmtId="0" fontId="77" fillId="0" borderId="0" xfId="0" applyFont="1" applyAlignment="1"/>
    <xf numFmtId="0" fontId="78" fillId="0" borderId="0" xfId="0" applyFont="1" applyAlignment="1"/>
    <xf numFmtId="0" fontId="79" fillId="0" borderId="1" xfId="0" applyFont="1" applyBorder="1" applyAlignment="1"/>
    <xf numFmtId="17" fontId="79" fillId="0" borderId="31" xfId="0" applyNumberFormat="1" applyFont="1" applyBorder="1" applyAlignment="1">
      <alignment horizontal="center"/>
    </xf>
    <xf numFmtId="17" fontId="79" fillId="0" borderId="11" xfId="0" applyNumberFormat="1" applyFont="1" applyBorder="1" applyAlignment="1">
      <alignment horizontal="center"/>
    </xf>
    <xf numFmtId="0" fontId="79" fillId="0" borderId="32" xfId="0" applyFont="1" applyBorder="1" applyAlignment="1">
      <alignment horizontal="center"/>
    </xf>
    <xf numFmtId="0" fontId="79" fillId="9" borderId="33" xfId="0" applyFont="1" applyFill="1" applyBorder="1" applyAlignment="1">
      <alignment vertical="center" wrapText="1"/>
    </xf>
    <xf numFmtId="165" fontId="78" fillId="0" borderId="17" xfId="5" applyNumberFormat="1" applyFont="1" applyBorder="1" applyAlignment="1" applyProtection="1"/>
    <xf numFmtId="37" fontId="79" fillId="0" borderId="34" xfId="0" applyNumberFormat="1" applyFont="1" applyBorder="1" applyAlignment="1"/>
    <xf numFmtId="0" fontId="78" fillId="0" borderId="35" xfId="0" applyFont="1" applyBorder="1" applyAlignment="1">
      <alignment vertical="center" wrapText="1"/>
    </xf>
    <xf numFmtId="165" fontId="78" fillId="0" borderId="29" xfId="5" applyNumberFormat="1" applyFont="1" applyBorder="1" applyAlignment="1" applyProtection="1">
      <alignment horizontal="left"/>
    </xf>
    <xf numFmtId="165" fontId="78" fillId="0" borderId="29" xfId="5" applyNumberFormat="1" applyFont="1" applyBorder="1" applyAlignment="1" applyProtection="1"/>
    <xf numFmtId="37" fontId="79" fillId="0" borderId="36" xfId="0" applyNumberFormat="1" applyFont="1" applyBorder="1" applyAlignment="1"/>
    <xf numFmtId="165" fontId="78" fillId="0" borderId="29" xfId="5" applyNumberFormat="1" applyFont="1" applyBorder="1" applyAlignment="1" applyProtection="1">
      <alignment horizontal="left" vertical="top" wrapText="1"/>
    </xf>
    <xf numFmtId="0" fontId="79" fillId="0" borderId="37" xfId="0" applyFont="1" applyBorder="1" applyAlignment="1">
      <alignment vertical="center" wrapText="1"/>
    </xf>
    <xf numFmtId="0" fontId="80" fillId="0" borderId="38" xfId="0" applyFont="1" applyBorder="1" applyAlignment="1"/>
    <xf numFmtId="165" fontId="79" fillId="0" borderId="38" xfId="5" applyNumberFormat="1" applyFont="1" applyBorder="1" applyAlignment="1" applyProtection="1"/>
    <xf numFmtId="165" fontId="79" fillId="0" borderId="39" xfId="5" applyNumberFormat="1" applyFont="1" applyBorder="1" applyAlignment="1" applyProtection="1"/>
    <xf numFmtId="0" fontId="79" fillId="0" borderId="0" xfId="0" applyFont="1" applyAlignment="1">
      <alignment vertical="center" wrapText="1"/>
    </xf>
    <xf numFmtId="0" fontId="80" fillId="0" borderId="0" xfId="0" applyFont="1" applyAlignment="1"/>
    <xf numFmtId="165" fontId="79" fillId="0" borderId="0" xfId="5" applyNumberFormat="1" applyFont="1" applyAlignment="1" applyProtection="1"/>
    <xf numFmtId="165" fontId="79" fillId="0" borderId="19" xfId="5" applyNumberFormat="1" applyFont="1" applyBorder="1" applyAlignment="1" applyProtection="1"/>
    <xf numFmtId="0" fontId="79" fillId="9" borderId="40" xfId="0" applyFont="1" applyFill="1" applyBorder="1" applyAlignment="1">
      <alignment vertical="center" wrapText="1"/>
    </xf>
    <xf numFmtId="165" fontId="78" fillId="0" borderId="41" xfId="5" applyNumberFormat="1" applyFont="1" applyBorder="1" applyAlignment="1" applyProtection="1"/>
    <xf numFmtId="37" fontId="79" fillId="0" borderId="42" xfId="0" applyNumberFormat="1" applyFont="1" applyBorder="1" applyAlignment="1"/>
    <xf numFmtId="0" fontId="79" fillId="4" borderId="37" xfId="0" applyFont="1" applyFill="1" applyBorder="1" applyAlignment="1">
      <alignment vertical="center" wrapText="1"/>
    </xf>
    <xf numFmtId="0" fontId="81" fillId="0" borderId="38" xfId="0" applyFont="1" applyBorder="1" applyAlignment="1"/>
    <xf numFmtId="0" fontId="81" fillId="0" borderId="0" xfId="0" applyFont="1" applyAlignment="1"/>
    <xf numFmtId="0" fontId="81" fillId="0" borderId="41" xfId="0" applyFont="1" applyBorder="1" applyAlignment="1"/>
    <xf numFmtId="165" fontId="79" fillId="0" borderId="41" xfId="5" applyNumberFormat="1" applyFont="1" applyBorder="1" applyAlignment="1" applyProtection="1"/>
    <xf numFmtId="165" fontId="79" fillId="0" borderId="42" xfId="5" applyNumberFormat="1" applyFont="1" applyBorder="1" applyAlignment="1" applyProtection="1"/>
    <xf numFmtId="165" fontId="79" fillId="0" borderId="29" xfId="5" applyNumberFormat="1" applyFont="1" applyBorder="1" applyAlignment="1" applyProtection="1"/>
    <xf numFmtId="0" fontId="78" fillId="0" borderId="35" xfId="0" applyFont="1" applyBorder="1">
      <alignment vertical="center"/>
    </xf>
    <xf numFmtId="165" fontId="78" fillId="0" borderId="0" xfId="3" applyNumberFormat="1" applyFont="1" applyAlignment="1" applyProtection="1"/>
    <xf numFmtId="0" fontId="79" fillId="0" borderId="43" xfId="0" applyFont="1" applyBorder="1" applyAlignment="1">
      <alignment vertical="center" wrapText="1"/>
    </xf>
    <xf numFmtId="0" fontId="81" fillId="0" borderId="44" xfId="0" applyFont="1" applyBorder="1" applyAlignment="1"/>
    <xf numFmtId="165" fontId="79" fillId="0" borderId="44" xfId="5" applyNumberFormat="1" applyFont="1" applyBorder="1" applyAlignment="1" applyProtection="1"/>
    <xf numFmtId="0" fontId="82" fillId="0" borderId="0" xfId="0" applyFont="1" applyAlignment="1">
      <alignment horizontal="right"/>
    </xf>
    <xf numFmtId="0" fontId="77" fillId="0" borderId="0" xfId="0" applyFont="1" applyAlignment="1">
      <alignment horizontal="left"/>
    </xf>
    <xf numFmtId="0" fontId="77" fillId="0" borderId="0" xfId="0" applyFont="1" applyAlignment="1">
      <alignment horizontal="right"/>
    </xf>
    <xf numFmtId="0" fontId="83" fillId="0" borderId="0" xfId="0" applyFont="1" applyAlignment="1"/>
    <xf numFmtId="0" fontId="84" fillId="0" borderId="1" xfId="0" applyFont="1" applyBorder="1" applyAlignment="1"/>
    <xf numFmtId="0" fontId="84" fillId="0" borderId="2" xfId="0" applyFont="1" applyBorder="1" applyAlignment="1"/>
    <xf numFmtId="0" fontId="84" fillId="0" borderId="3" xfId="0" applyFont="1" applyBorder="1" applyAlignment="1"/>
    <xf numFmtId="0" fontId="85" fillId="0" borderId="4" xfId="0" applyFont="1" applyBorder="1" applyAlignment="1"/>
    <xf numFmtId="0" fontId="85" fillId="0" borderId="3" xfId="0" applyFont="1" applyBorder="1" applyAlignment="1"/>
    <xf numFmtId="0" fontId="11" fillId="10" borderId="0" xfId="0" applyFont="1" applyFill="1" applyAlignment="1"/>
    <xf numFmtId="0" fontId="11" fillId="0" borderId="30" xfId="0" applyFont="1" applyBorder="1" applyAlignment="1"/>
    <xf numFmtId="0" fontId="10" fillId="0" borderId="1" xfId="0" applyFont="1" applyBorder="1" applyAlignment="1"/>
    <xf numFmtId="0" fontId="10" fillId="0" borderId="2" xfId="0" applyFont="1" applyBorder="1" applyAlignment="1"/>
    <xf numFmtId="0" fontId="10" fillId="0" borderId="3" xfId="0" applyFont="1" applyBorder="1" applyAlignment="1"/>
    <xf numFmtId="0" fontId="5" fillId="0" borderId="3" xfId="0" applyFont="1" applyBorder="1" applyAlignment="1"/>
    <xf numFmtId="0" fontId="1" fillId="0" borderId="0" xfId="0" applyFont="1" applyAlignment="1">
      <alignment horizontal="center"/>
    </xf>
    <xf numFmtId="0" fontId="1" fillId="10" borderId="0" xfId="0" applyFont="1" applyFill="1" applyAlignment="1"/>
    <xf numFmtId="0" fontId="87" fillId="0" borderId="0" xfId="0" applyFont="1" applyAlignment="1">
      <alignment horizontal="center"/>
    </xf>
    <xf numFmtId="165" fontId="88" fillId="0" borderId="4" xfId="1" applyNumberFormat="1" applyFont="1" applyBorder="1" applyAlignment="1" applyProtection="1">
      <alignment horizontal="center"/>
    </xf>
    <xf numFmtId="165" fontId="89" fillId="0" borderId="4" xfId="1" applyNumberFormat="1" applyFont="1" applyBorder="1" applyAlignment="1" applyProtection="1">
      <alignment horizontal="center"/>
    </xf>
    <xf numFmtId="165" fontId="89" fillId="0" borderId="0" xfId="1" applyNumberFormat="1" applyFont="1" applyAlignment="1" applyProtection="1">
      <alignment horizontal="center"/>
    </xf>
    <xf numFmtId="0" fontId="87" fillId="10" borderId="0" xfId="0" applyFont="1" applyFill="1" applyAlignment="1">
      <alignment horizontal="center"/>
    </xf>
    <xf numFmtId="165" fontId="90" fillId="0" borderId="1" xfId="1" applyNumberFormat="1" applyFont="1" applyBorder="1" applyAlignment="1" applyProtection="1">
      <alignment horizontal="center"/>
    </xf>
    <xf numFmtId="165" fontId="90" fillId="0" borderId="2" xfId="1" applyNumberFormat="1" applyFont="1" applyBorder="1" applyAlignment="1" applyProtection="1">
      <alignment horizontal="center"/>
    </xf>
    <xf numFmtId="165" fontId="90" fillId="0" borderId="5" xfId="1" applyNumberFormat="1" applyFont="1" applyBorder="1" applyAlignment="1" applyProtection="1">
      <alignment horizontal="center"/>
    </xf>
    <xf numFmtId="0" fontId="87" fillId="0" borderId="30" xfId="0" applyFont="1" applyBorder="1" applyAlignment="1">
      <alignment horizontal="center"/>
    </xf>
    <xf numFmtId="49" fontId="91" fillId="4" borderId="4" xfId="0" applyNumberFormat="1" applyFont="1" applyFill="1" applyBorder="1" applyAlignment="1">
      <alignment horizontal="left"/>
    </xf>
    <xf numFmtId="165" fontId="92" fillId="3" borderId="30" xfId="0" applyNumberFormat="1" applyFont="1" applyFill="1" applyBorder="1" applyAlignment="1"/>
    <xf numFmtId="165" fontId="92" fillId="3" borderId="5" xfId="0" applyNumberFormat="1" applyFont="1" applyFill="1" applyBorder="1" applyAlignment="1"/>
    <xf numFmtId="165" fontId="93" fillId="3" borderId="5" xfId="0" applyNumberFormat="1" applyFont="1" applyFill="1" applyBorder="1" applyAlignment="1"/>
    <xf numFmtId="165" fontId="93" fillId="3" borderId="0" xfId="0" applyNumberFormat="1" applyFont="1" applyFill="1" applyAlignment="1"/>
    <xf numFmtId="49" fontId="94" fillId="0" borderId="30" xfId="0" applyNumberFormat="1" applyFont="1" applyBorder="1" applyAlignment="1">
      <alignment horizontal="left"/>
    </xf>
    <xf numFmtId="165" fontId="95" fillId="3" borderId="0" xfId="0" applyNumberFormat="1" applyFont="1" applyFill="1" applyAlignment="1"/>
    <xf numFmtId="165" fontId="95" fillId="3" borderId="5" xfId="0" applyNumberFormat="1" applyFont="1" applyFill="1" applyBorder="1" applyAlignment="1"/>
    <xf numFmtId="165" fontId="95" fillId="3" borderId="21" xfId="0" applyNumberFormat="1" applyFont="1" applyFill="1" applyBorder="1" applyAlignment="1"/>
    <xf numFmtId="49" fontId="91" fillId="0" borderId="30" xfId="0" applyNumberFormat="1" applyFont="1" applyBorder="1" applyAlignment="1">
      <alignment horizontal="left"/>
    </xf>
    <xf numFmtId="165" fontId="92" fillId="3" borderId="7" xfId="0" applyNumberFormat="1" applyFont="1" applyFill="1" applyBorder="1" applyAlignment="1"/>
    <xf numFmtId="165" fontId="92" fillId="4" borderId="7" xfId="0" applyNumberFormat="1" applyFont="1" applyFill="1" applyBorder="1" applyAlignment="1"/>
    <xf numFmtId="165" fontId="93" fillId="3" borderId="7" xfId="0" applyNumberFormat="1" applyFont="1" applyFill="1" applyBorder="1" applyAlignment="1"/>
    <xf numFmtId="0" fontId="96" fillId="0" borderId="30" xfId="0" applyFont="1" applyBorder="1" applyAlignment="1"/>
    <xf numFmtId="165" fontId="95" fillId="3" borderId="7" xfId="0" applyNumberFormat="1" applyFont="1" applyFill="1" applyBorder="1" applyAlignment="1"/>
    <xf numFmtId="0" fontId="97" fillId="0" borderId="30" xfId="0" applyFont="1" applyBorder="1" applyAlignment="1"/>
    <xf numFmtId="165" fontId="92" fillId="5" borderId="30" xfId="2" applyNumberFormat="1" applyFont="1" applyFill="1" applyBorder="1" applyAlignment="1" applyProtection="1"/>
    <xf numFmtId="165" fontId="92" fillId="5" borderId="7" xfId="2" applyNumberFormat="1" applyFont="1" applyFill="1" applyBorder="1" applyAlignment="1" applyProtection="1"/>
    <xf numFmtId="165" fontId="93" fillId="5" borderId="7" xfId="2" applyNumberFormat="1" applyFont="1" applyFill="1" applyBorder="1" applyAlignment="1" applyProtection="1"/>
    <xf numFmtId="165" fontId="93" fillId="5" borderId="0" xfId="2" applyNumberFormat="1" applyFont="1" applyFill="1" applyAlignment="1" applyProtection="1"/>
    <xf numFmtId="0" fontId="12" fillId="10" borderId="0" xfId="0" applyFont="1" applyFill="1" applyAlignment="1"/>
    <xf numFmtId="165" fontId="95" fillId="5" borderId="0" xfId="2" applyNumberFormat="1" applyFont="1" applyFill="1" applyAlignment="1" applyProtection="1"/>
    <xf numFmtId="165" fontId="95" fillId="5" borderId="7" xfId="2" applyNumberFormat="1" applyFont="1" applyFill="1" applyBorder="1" applyAlignment="1" applyProtection="1"/>
    <xf numFmtId="0" fontId="12" fillId="0" borderId="30" xfId="0" applyFont="1" applyBorder="1" applyAlignment="1"/>
    <xf numFmtId="0" fontId="97" fillId="0" borderId="1" xfId="0" applyFont="1" applyBorder="1" applyAlignment="1"/>
    <xf numFmtId="165" fontId="92" fillId="5" borderId="1" xfId="2" applyNumberFormat="1" applyFont="1" applyFill="1" applyBorder="1" applyAlignment="1" applyProtection="1"/>
    <xf numFmtId="165" fontId="92" fillId="5" borderId="4" xfId="2" applyNumberFormat="1" applyFont="1" applyFill="1" applyBorder="1" applyAlignment="1" applyProtection="1"/>
    <xf numFmtId="165" fontId="98" fillId="0" borderId="30" xfId="2" applyNumberFormat="1" applyFont="1" applyBorder="1" applyAlignment="1" applyProtection="1"/>
    <xf numFmtId="165" fontId="98" fillId="0" borderId="7" xfId="2" applyNumberFormat="1" applyFont="1" applyBorder="1" applyAlignment="1" applyProtection="1"/>
    <xf numFmtId="165" fontId="3" fillId="0" borderId="7" xfId="2" applyNumberFormat="1" applyFont="1" applyBorder="1" applyAlignment="1" applyProtection="1"/>
    <xf numFmtId="165" fontId="3" fillId="0" borderId="0" xfId="2" applyNumberFormat="1" applyFont="1" applyAlignment="1" applyProtection="1"/>
    <xf numFmtId="165" fontId="18" fillId="0" borderId="0" xfId="2" applyNumberFormat="1" applyFont="1" applyAlignment="1" applyProtection="1"/>
    <xf numFmtId="165" fontId="18" fillId="0" borderId="7" xfId="2" applyNumberFormat="1" applyFont="1" applyBorder="1" applyAlignment="1" applyProtection="1"/>
    <xf numFmtId="165" fontId="92" fillId="0" borderId="1" xfId="2" applyNumberFormat="1" applyFont="1" applyBorder="1" applyAlignment="1" applyProtection="1"/>
    <xf numFmtId="165" fontId="92" fillId="0" borderId="4" xfId="2" applyNumberFormat="1" applyFont="1" applyBorder="1" applyAlignment="1" applyProtection="1"/>
    <xf numFmtId="165" fontId="93" fillId="0" borderId="4" xfId="2" applyNumberFormat="1" applyFont="1" applyBorder="1" applyAlignment="1" applyProtection="1"/>
    <xf numFmtId="167" fontId="3" fillId="0" borderId="0" xfId="4" applyNumberFormat="1" applyFont="1" applyAlignment="1" applyProtection="1"/>
    <xf numFmtId="0" fontId="99" fillId="0" borderId="30" xfId="0" applyFont="1" applyBorder="1" applyAlignment="1"/>
    <xf numFmtId="165" fontId="98" fillId="0" borderId="0" xfId="2" applyNumberFormat="1" applyFont="1" applyAlignment="1" applyProtection="1"/>
    <xf numFmtId="165" fontId="92" fillId="5" borderId="2" xfId="2" applyNumberFormat="1" applyFont="1" applyFill="1" applyBorder="1" applyAlignment="1" applyProtection="1"/>
    <xf numFmtId="165" fontId="92" fillId="5" borderId="3" xfId="2" applyNumberFormat="1" applyFont="1" applyFill="1" applyBorder="1" applyAlignment="1" applyProtection="1"/>
    <xf numFmtId="165" fontId="93" fillId="5" borderId="3" xfId="2" applyNumberFormat="1" applyFont="1" applyFill="1" applyBorder="1" applyAlignment="1" applyProtection="1"/>
    <xf numFmtId="0" fontId="96" fillId="0" borderId="1" xfId="0" applyFont="1" applyBorder="1" applyAlignment="1"/>
    <xf numFmtId="165" fontId="95" fillId="5" borderId="2" xfId="2" applyNumberFormat="1" applyFont="1" applyFill="1" applyBorder="1" applyAlignment="1" applyProtection="1"/>
    <xf numFmtId="165" fontId="95" fillId="5" borderId="22" xfId="2" applyNumberFormat="1" applyFont="1" applyFill="1" applyBorder="1" applyAlignment="1" applyProtection="1"/>
    <xf numFmtId="165" fontId="95" fillId="5" borderId="23" xfId="2" applyNumberFormat="1" applyFont="1" applyFill="1" applyBorder="1" applyAlignment="1" applyProtection="1"/>
    <xf numFmtId="165" fontId="95" fillId="5" borderId="9" xfId="2" applyNumberFormat="1" applyFont="1" applyFill="1" applyBorder="1" applyAlignment="1" applyProtection="1"/>
    <xf numFmtId="49" fontId="91" fillId="0" borderId="20" xfId="0" applyNumberFormat="1" applyFont="1" applyBorder="1" applyAlignment="1">
      <alignment horizontal="left"/>
    </xf>
    <xf numFmtId="165" fontId="92" fillId="0" borderId="20" xfId="2" applyNumberFormat="1" applyFont="1" applyBorder="1" applyAlignment="1" applyProtection="1"/>
    <xf numFmtId="165" fontId="92" fillId="0" borderId="5" xfId="2" applyNumberFormat="1" applyFont="1" applyBorder="1" applyAlignment="1" applyProtection="1"/>
    <xf numFmtId="165" fontId="93" fillId="0" borderId="5" xfId="2" applyNumberFormat="1" applyFont="1" applyBorder="1" applyAlignment="1" applyProtection="1"/>
    <xf numFmtId="165" fontId="93" fillId="0" borderId="0" xfId="2" applyNumberFormat="1" applyFont="1" applyAlignment="1" applyProtection="1"/>
    <xf numFmtId="49" fontId="100" fillId="0" borderId="20" xfId="0" applyNumberFormat="1" applyFont="1" applyBorder="1" applyAlignment="1">
      <alignment horizontal="left"/>
    </xf>
    <xf numFmtId="165" fontId="95" fillId="0" borderId="21" xfId="2" applyNumberFormat="1" applyFont="1" applyBorder="1" applyAlignment="1" applyProtection="1"/>
    <xf numFmtId="165" fontId="92" fillId="0" borderId="21" xfId="2" applyNumberFormat="1" applyFont="1" applyBorder="1" applyAlignment="1" applyProtection="1"/>
    <xf numFmtId="165" fontId="93" fillId="0" borderId="6" xfId="2" applyNumberFormat="1" applyFont="1" applyBorder="1" applyAlignment="1" applyProtection="1"/>
    <xf numFmtId="49" fontId="100" fillId="0" borderId="0" xfId="0" applyNumberFormat="1" applyFont="1" applyAlignment="1">
      <alignment horizontal="left"/>
    </xf>
    <xf numFmtId="165" fontId="95" fillId="0" borderId="0" xfId="2" applyNumberFormat="1" applyFont="1" applyAlignment="1" applyProtection="1"/>
    <xf numFmtId="49" fontId="91" fillId="0" borderId="22" xfId="0" applyNumberFormat="1" applyFont="1" applyBorder="1" applyAlignment="1">
      <alignment horizontal="left"/>
    </xf>
    <xf numFmtId="165" fontId="92" fillId="0" borderId="23" xfId="2" applyNumberFormat="1" applyFont="1" applyBorder="1" applyAlignment="1" applyProtection="1"/>
    <xf numFmtId="165" fontId="93" fillId="0" borderId="9" xfId="2" applyNumberFormat="1" applyFont="1" applyBorder="1" applyAlignment="1" applyProtection="1"/>
    <xf numFmtId="165" fontId="101" fillId="0" borderId="30" xfId="2" applyNumberFormat="1" applyFont="1" applyBorder="1" applyAlignment="1" applyProtection="1"/>
    <xf numFmtId="165" fontId="102" fillId="0" borderId="7" xfId="2" applyNumberFormat="1" applyFont="1" applyBorder="1" applyAlignment="1" applyProtection="1"/>
    <xf numFmtId="165" fontId="15" fillId="0" borderId="7" xfId="2" applyNumberFormat="1" applyFont="1" applyBorder="1" applyAlignment="1" applyProtection="1"/>
    <xf numFmtId="165" fontId="15" fillId="0" borderId="0" xfId="2" applyNumberFormat="1" applyFont="1" applyAlignment="1" applyProtection="1"/>
    <xf numFmtId="0" fontId="13" fillId="10" borderId="0" xfId="0" applyFont="1" applyFill="1" applyAlignment="1"/>
    <xf numFmtId="0" fontId="103" fillId="0" borderId="30" xfId="0" applyFont="1" applyBorder="1" applyAlignment="1"/>
    <xf numFmtId="165" fontId="104" fillId="0" borderId="0" xfId="2" applyNumberFormat="1" applyFont="1" applyAlignment="1" applyProtection="1"/>
    <xf numFmtId="165" fontId="104" fillId="0" borderId="7" xfId="2" applyNumberFormat="1" applyFont="1" applyBorder="1" applyAlignment="1" applyProtection="1"/>
    <xf numFmtId="165" fontId="104" fillId="0" borderId="19" xfId="2" applyNumberFormat="1" applyFont="1" applyBorder="1" applyAlignment="1" applyProtection="1"/>
    <xf numFmtId="0" fontId="13" fillId="0" borderId="30" xfId="0" applyFont="1" applyBorder="1" applyAlignment="1"/>
    <xf numFmtId="165" fontId="95" fillId="3" borderId="19" xfId="0" applyNumberFormat="1" applyFont="1" applyFill="1" applyBorder="1" applyAlignment="1"/>
    <xf numFmtId="165" fontId="95" fillId="5" borderId="19" xfId="2" applyNumberFormat="1" applyFont="1" applyFill="1" applyBorder="1" applyAlignment="1" applyProtection="1"/>
    <xf numFmtId="0" fontId="97" fillId="0" borderId="8" xfId="0" applyFont="1" applyBorder="1" applyAlignment="1"/>
    <xf numFmtId="0" fontId="105" fillId="0" borderId="30" xfId="0" applyFont="1" applyBorder="1" applyAlignment="1"/>
    <xf numFmtId="165" fontId="18" fillId="0" borderId="19" xfId="2" applyNumberFormat="1" applyFont="1" applyBorder="1" applyAlignment="1" applyProtection="1"/>
    <xf numFmtId="0" fontId="106" fillId="0" borderId="30" xfId="0" applyFont="1" applyBorder="1" applyAlignment="1"/>
    <xf numFmtId="0" fontId="98" fillId="0" borderId="30" xfId="0" applyFont="1" applyBorder="1" applyAlignment="1"/>
    <xf numFmtId="0" fontId="18" fillId="0" borderId="7" xfId="0" applyFont="1" applyBorder="1" applyAlignment="1"/>
    <xf numFmtId="0" fontId="16" fillId="0" borderId="30" xfId="0" applyFont="1" applyBorder="1" applyAlignment="1"/>
    <xf numFmtId="0" fontId="98" fillId="0" borderId="22" xfId="0" applyFont="1" applyBorder="1" applyAlignment="1"/>
    <xf numFmtId="165" fontId="98" fillId="0" borderId="8" xfId="2" applyNumberFormat="1" applyFont="1" applyBorder="1" applyAlignment="1" applyProtection="1"/>
    <xf numFmtId="165" fontId="3" fillId="0" borderId="8" xfId="2" applyNumberFormat="1" applyFont="1" applyBorder="1" applyAlignment="1" applyProtection="1"/>
    <xf numFmtId="0" fontId="18" fillId="0" borderId="8" xfId="0" applyFont="1" applyBorder="1" applyAlignment="1"/>
    <xf numFmtId="165" fontId="18" fillId="0" borderId="8" xfId="2" applyNumberFormat="1" applyFont="1" applyBorder="1" applyAlignment="1" applyProtection="1"/>
    <xf numFmtId="165" fontId="18" fillId="0" borderId="9" xfId="2" applyNumberFormat="1" applyFont="1" applyBorder="1" applyAlignment="1" applyProtection="1"/>
    <xf numFmtId="165" fontId="93" fillId="5" borderId="4" xfId="2" applyNumberFormat="1" applyFont="1" applyFill="1" applyBorder="1" applyAlignment="1" applyProtection="1"/>
    <xf numFmtId="165" fontId="95" fillId="5" borderId="1" xfId="2" applyNumberFormat="1" applyFont="1" applyFill="1" applyBorder="1" applyAlignment="1" applyProtection="1"/>
    <xf numFmtId="165" fontId="95" fillId="5" borderId="4" xfId="2" applyNumberFormat="1" applyFont="1" applyFill="1" applyBorder="1" applyAlignment="1" applyProtection="1"/>
    <xf numFmtId="165" fontId="95" fillId="5" borderId="3" xfId="2" applyNumberFormat="1" applyFont="1" applyFill="1" applyBorder="1" applyAlignment="1" applyProtection="1"/>
    <xf numFmtId="9" fontId="12" fillId="0" borderId="4" xfId="6" applyFont="1" applyBorder="1" applyAlignment="1" applyProtection="1">
      <alignment horizontal="right"/>
    </xf>
    <xf numFmtId="165" fontId="93" fillId="0" borderId="4" xfId="6" applyNumberFormat="1" applyFont="1" applyBorder="1" applyAlignment="1" applyProtection="1">
      <alignment horizontal="right"/>
    </xf>
    <xf numFmtId="9" fontId="93" fillId="0" borderId="4" xfId="6" applyFont="1" applyBorder="1" applyAlignment="1" applyProtection="1">
      <alignment horizontal="right"/>
    </xf>
    <xf numFmtId="0" fontId="75" fillId="0" borderId="0" xfId="0" applyFont="1" applyAlignment="1"/>
    <xf numFmtId="49" fontId="107" fillId="0" borderId="0" xfId="0" applyNumberFormat="1" applyFont="1" applyAlignment="1">
      <alignment horizontal="center"/>
    </xf>
    <xf numFmtId="165" fontId="107" fillId="0" borderId="0" xfId="1" applyNumberFormat="1" applyFont="1" applyAlignment="1" applyProtection="1">
      <alignment horizontal="center"/>
    </xf>
    <xf numFmtId="0" fontId="6" fillId="0" borderId="0" xfId="0" applyFont="1" applyAlignment="1"/>
    <xf numFmtId="165" fontId="6" fillId="0" borderId="0" xfId="0" applyNumberFormat="1" applyFont="1" applyAlignment="1"/>
    <xf numFmtId="164" fontId="12" fillId="0" borderId="0" xfId="0" applyNumberFormat="1" applyFont="1" applyAlignment="1"/>
    <xf numFmtId="165" fontId="3" fillId="0" borderId="0" xfId="3" applyNumberFormat="1" applyFont="1" applyAlignment="1" applyProtection="1"/>
    <xf numFmtId="49" fontId="107" fillId="0" borderId="0" xfId="0" applyNumberFormat="1" applyFont="1" applyAlignment="1"/>
    <xf numFmtId="165" fontId="107" fillId="0" borderId="0" xfId="1" applyNumberFormat="1" applyFont="1" applyAlignment="1" applyProtection="1"/>
    <xf numFmtId="49" fontId="108" fillId="0" borderId="0" xfId="0" applyNumberFormat="1" applyFont="1" applyAlignment="1"/>
    <xf numFmtId="165" fontId="108" fillId="0" borderId="0" xfId="1" applyNumberFormat="1" applyFont="1" applyAlignment="1" applyProtection="1"/>
    <xf numFmtId="0" fontId="83" fillId="0" borderId="4" xfId="0" applyFont="1" applyBorder="1" applyAlignment="1"/>
    <xf numFmtId="0" fontId="12" fillId="0" borderId="4" xfId="0" applyFont="1" applyBorder="1" applyAlignment="1"/>
    <xf numFmtId="0" fontId="11" fillId="0" borderId="4" xfId="0" applyFont="1" applyBorder="1" applyAlignment="1"/>
    <xf numFmtId="165" fontId="3" fillId="0" borderId="4" xfId="3" applyNumberFormat="1" applyFont="1" applyBorder="1" applyAlignment="1" applyProtection="1"/>
    <xf numFmtId="0" fontId="93" fillId="0" borderId="4" xfId="0" applyFont="1" applyBorder="1" applyAlignment="1"/>
    <xf numFmtId="165" fontId="93" fillId="0" borderId="4" xfId="0" applyNumberFormat="1" applyFont="1" applyBorder="1" applyAlignment="1"/>
    <xf numFmtId="0" fontId="93" fillId="0" borderId="0" xfId="0" applyFont="1" applyAlignment="1"/>
    <xf numFmtId="0" fontId="95" fillId="0" borderId="0" xfId="0" applyFont="1" applyAlignment="1"/>
    <xf numFmtId="0" fontId="83" fillId="0" borderId="0" xfId="0" applyFont="1" applyAlignment="1">
      <alignment horizontal="right"/>
    </xf>
    <xf numFmtId="164" fontId="3" fillId="0" borderId="0" xfId="3" applyFont="1" applyAlignment="1" applyProtection="1"/>
    <xf numFmtId="165" fontId="7" fillId="0" borderId="3" xfId="1" applyNumberFormat="1" applyFont="1" applyBorder="1" applyAlignment="1" applyProtection="1">
      <alignment horizontal="center"/>
    </xf>
    <xf numFmtId="165" fontId="9" fillId="0" borderId="19" xfId="0" applyNumberFormat="1" applyFont="1" applyBorder="1" applyAlignment="1"/>
    <xf numFmtId="165" fontId="9" fillId="3" borderId="19" xfId="0" applyNumberFormat="1" applyFont="1" applyFill="1" applyBorder="1" applyAlignment="1"/>
    <xf numFmtId="165" fontId="2" fillId="0" borderId="19" xfId="2" applyNumberFormat="1" applyFont="1" applyBorder="1" applyAlignment="1" applyProtection="1"/>
    <xf numFmtId="165" fontId="9" fillId="0" borderId="3" xfId="2" applyNumberFormat="1" applyFont="1" applyBorder="1" applyAlignment="1" applyProtection="1"/>
    <xf numFmtId="165" fontId="14" fillId="0" borderId="6" xfId="2" applyNumberFormat="1" applyFont="1" applyBorder="1" applyAlignment="1" applyProtection="1"/>
    <xf numFmtId="165" fontId="9" fillId="3" borderId="19" xfId="3" applyNumberFormat="1" applyFont="1" applyFill="1" applyBorder="1" applyAlignment="1" applyProtection="1"/>
    <xf numFmtId="165" fontId="9" fillId="0" borderId="19" xfId="3" applyNumberFormat="1" applyFont="1" applyBorder="1" applyAlignment="1" applyProtection="1"/>
    <xf numFmtId="0" fontId="12" fillId="0" borderId="29" xfId="0" applyFont="1" applyBorder="1">
      <alignment vertical="center"/>
    </xf>
    <xf numFmtId="0" fontId="110" fillId="0" borderId="29" xfId="0" applyFont="1" applyBorder="1" applyAlignment="1">
      <alignment horizontal="right" vertical="center"/>
    </xf>
    <xf numFmtId="0" fontId="111" fillId="0" borderId="29" xfId="0" applyFont="1" applyBorder="1" applyAlignment="1">
      <alignment horizontal="right" vertical="center"/>
    </xf>
    <xf numFmtId="165" fontId="112" fillId="0" borderId="29" xfId="5" quotePrefix="1" applyNumberFormat="1" applyFont="1" applyBorder="1" applyAlignment="1" applyProtection="1">
      <alignment horizontal="right" vertical="center"/>
    </xf>
    <xf numFmtId="165" fontId="113" fillId="0" borderId="29" xfId="5" quotePrefix="1" applyNumberFormat="1" applyFont="1" applyBorder="1" applyAlignment="1" applyProtection="1">
      <alignment horizontal="right" vertical="center"/>
    </xf>
    <xf numFmtId="165" fontId="114" fillId="0" borderId="29" xfId="5" applyNumberFormat="1" applyFont="1" applyBorder="1" applyAlignment="1" applyProtection="1">
      <alignment horizontal="right" vertical="center"/>
    </xf>
    <xf numFmtId="0" fontId="115" fillId="0" borderId="29" xfId="0" applyFont="1" applyBorder="1" applyAlignment="1"/>
    <xf numFmtId="165" fontId="116" fillId="0" borderId="29" xfId="5" applyNumberFormat="1" applyFont="1" applyBorder="1" applyAlignment="1" applyProtection="1"/>
    <xf numFmtId="165" fontId="117" fillId="0" borderId="29" xfId="5" applyNumberFormat="1" applyFont="1" applyBorder="1" applyAlignment="1" applyProtection="1"/>
    <xf numFmtId="165" fontId="118" fillId="0" borderId="29" xfId="5" applyNumberFormat="1" applyFont="1" applyBorder="1" applyAlignment="1" applyProtection="1"/>
    <xf numFmtId="165" fontId="97" fillId="0" borderId="29" xfId="5" applyNumberFormat="1" applyFont="1" applyBorder="1" applyAlignment="1" applyProtection="1"/>
    <xf numFmtId="49" fontId="119" fillId="0" borderId="29" xfId="0" applyNumberFormat="1" applyFont="1" applyBorder="1" applyAlignment="1"/>
    <xf numFmtId="165" fontId="120" fillId="0" borderId="29" xfId="5" applyNumberFormat="1" applyFont="1" applyBorder="1" applyAlignment="1" applyProtection="1"/>
    <xf numFmtId="0" fontId="5" fillId="0" borderId="29" xfId="0" applyFont="1" applyBorder="1" applyAlignment="1"/>
    <xf numFmtId="9" fontId="116" fillId="7" borderId="29" xfId="6" applyFont="1" applyFill="1" applyBorder="1" applyAlignment="1" applyProtection="1"/>
    <xf numFmtId="9" fontId="117" fillId="7" borderId="29" xfId="6" applyFont="1" applyFill="1" applyBorder="1" applyAlignment="1" applyProtection="1"/>
    <xf numFmtId="9" fontId="97" fillId="7" borderId="29" xfId="6" applyFont="1" applyFill="1" applyBorder="1" applyAlignment="1" applyProtection="1"/>
    <xf numFmtId="165" fontId="116" fillId="0" borderId="29" xfId="0" applyNumberFormat="1" applyFont="1" applyBorder="1" applyAlignment="1"/>
    <xf numFmtId="165" fontId="121" fillId="0" borderId="29" xfId="5" applyNumberFormat="1" applyFont="1" applyBorder="1" applyAlignment="1" applyProtection="1"/>
    <xf numFmtId="165" fontId="122" fillId="11" borderId="29" xfId="5" applyNumberFormat="1" applyFont="1" applyFill="1" applyBorder="1" applyAlignment="1" applyProtection="1"/>
    <xf numFmtId="165" fontId="1" fillId="0" borderId="29" xfId="5" applyNumberFormat="1" applyFont="1" applyBorder="1" applyAlignment="1" applyProtection="1"/>
    <xf numFmtId="0" fontId="123" fillId="0" borderId="26" xfId="0" applyFont="1" applyBorder="1" applyAlignment="1"/>
    <xf numFmtId="0" fontId="124" fillId="0" borderId="27" xfId="0" applyFont="1" applyBorder="1" applyAlignment="1"/>
    <xf numFmtId="0" fontId="124" fillId="0" borderId="28" xfId="0" applyFont="1" applyBorder="1" applyAlignment="1"/>
    <xf numFmtId="0" fontId="124" fillId="0" borderId="46" xfId="0" applyFont="1" applyBorder="1" applyAlignment="1"/>
    <xf numFmtId="0" fontId="123" fillId="0" borderId="26" xfId="0" applyFont="1" applyBorder="1" applyAlignment="1">
      <alignment horizontal="center" vertical="center"/>
    </xf>
    <xf numFmtId="0" fontId="125" fillId="0" borderId="28" xfId="0" applyFont="1" applyBorder="1">
      <alignment vertical="center"/>
    </xf>
    <xf numFmtId="0" fontId="125" fillId="0" borderId="26" xfId="0" applyFont="1" applyBorder="1" applyAlignment="1"/>
    <xf numFmtId="0" fontId="125" fillId="0" borderId="47" xfId="0" applyFont="1" applyBorder="1" applyAlignment="1"/>
    <xf numFmtId="0" fontId="123" fillId="0" borderId="26" xfId="0" applyFont="1" applyBorder="1" applyAlignment="1">
      <alignment horizontal="center"/>
    </xf>
    <xf numFmtId="0" fontId="125" fillId="0" borderId="47" xfId="0" applyFont="1" applyBorder="1" applyAlignment="1">
      <alignment vertical="top"/>
    </xf>
    <xf numFmtId="0" fontId="115" fillId="0" borderId="26" xfId="0" applyFont="1" applyBorder="1" applyAlignment="1"/>
    <xf numFmtId="0" fontId="87" fillId="0" borderId="48" xfId="0" applyFont="1" applyBorder="1" applyAlignment="1"/>
    <xf numFmtId="165" fontId="25" fillId="0" borderId="49" xfId="3" applyNumberFormat="1" applyFont="1" applyBorder="1" applyAlignment="1" applyProtection="1"/>
    <xf numFmtId="37" fontId="20" fillId="0" borderId="50" xfId="0" applyNumberFormat="1" applyFont="1" applyBorder="1" applyAlignment="1"/>
    <xf numFmtId="165" fontId="25" fillId="0" borderId="49" xfId="0" applyNumberFormat="1" applyFont="1" applyBorder="1" applyAlignment="1"/>
    <xf numFmtId="37" fontId="25" fillId="0" borderId="49" xfId="0" applyNumberFormat="1" applyFont="1" applyBorder="1" applyAlignment="1"/>
    <xf numFmtId="0" fontId="24" fillId="4" borderId="30" xfId="0" applyFont="1" applyFill="1" applyBorder="1" applyAlignment="1">
      <alignment vertical="center" wrapText="1"/>
    </xf>
    <xf numFmtId="0" fontId="24" fillId="0" borderId="30" xfId="0" applyFont="1" applyBorder="1" applyAlignment="1">
      <alignment vertical="center" wrapText="1"/>
    </xf>
    <xf numFmtId="165" fontId="25" fillId="0" borderId="47" xfId="3" applyNumberFormat="1" applyFont="1" applyBorder="1" applyAlignment="1" applyProtection="1"/>
    <xf numFmtId="37" fontId="25" fillId="0" borderId="47" xfId="0" applyNumberFormat="1" applyFont="1" applyBorder="1" applyAlignment="1"/>
    <xf numFmtId="37" fontId="29" fillId="0" borderId="47" xfId="0" applyNumberFormat="1" applyFont="1" applyBorder="1" applyAlignment="1"/>
    <xf numFmtId="37" fontId="24" fillId="0" borderId="51" xfId="0" applyNumberFormat="1" applyFont="1" applyBorder="1" applyAlignment="1"/>
    <xf numFmtId="37" fontId="20" fillId="0" borderId="32" xfId="0" applyNumberFormat="1" applyFont="1" applyBorder="1" applyAlignment="1"/>
    <xf numFmtId="37" fontId="29" fillId="0" borderId="49" xfId="0" applyNumberFormat="1" applyFont="1" applyBorder="1" applyAlignment="1"/>
    <xf numFmtId="165" fontId="126" fillId="0" borderId="0" xfId="3" applyNumberFormat="1" applyFont="1" applyAlignment="1" applyProtection="1"/>
    <xf numFmtId="37" fontId="24" fillId="0" borderId="49" xfId="0" applyNumberFormat="1" applyFont="1" applyBorder="1" applyAlignment="1"/>
    <xf numFmtId="9" fontId="23" fillId="0" borderId="0" xfId="0" applyNumberFormat="1" applyFont="1" applyAlignment="1">
      <alignment horizontal="right" vertical="center"/>
    </xf>
    <xf numFmtId="9" fontId="23" fillId="0" borderId="7" xfId="0" applyNumberFormat="1" applyFont="1" applyBorder="1" applyAlignment="1">
      <alignment horizontal="left" vertical="center" wrapText="1"/>
    </xf>
    <xf numFmtId="9" fontId="23" fillId="0" borderId="49" xfId="0" applyNumberFormat="1" applyFont="1" applyBorder="1" applyAlignment="1">
      <alignment horizontal="right" vertical="center"/>
    </xf>
    <xf numFmtId="9" fontId="23" fillId="0" borderId="10" xfId="0" applyNumberFormat="1" applyFont="1" applyBorder="1" applyAlignment="1">
      <alignment horizontal="right" vertical="center"/>
    </xf>
    <xf numFmtId="9" fontId="20" fillId="0" borderId="50" xfId="0" applyNumberFormat="1" applyFont="1" applyBorder="1" applyAlignment="1">
      <alignment horizontal="right" vertical="center"/>
    </xf>
    <xf numFmtId="0" fontId="25" fillId="0" borderId="7" xfId="0" applyFont="1" applyBorder="1" applyAlignment="1">
      <alignment horizontal="left" wrapText="1"/>
    </xf>
    <xf numFmtId="37" fontId="24" fillId="0" borderId="31" xfId="0" applyNumberFormat="1" applyFont="1" applyBorder="1" applyAlignment="1"/>
    <xf numFmtId="37" fontId="25" fillId="0" borderId="52" xfId="0" applyNumberFormat="1" applyFont="1" applyBorder="1" applyAlignment="1"/>
    <xf numFmtId="37" fontId="20" fillId="0" borderId="53" xfId="0" applyNumberFormat="1" applyFont="1" applyBorder="1" applyAlignment="1"/>
    <xf numFmtId="165" fontId="31" fillId="0" borderId="50" xfId="3" applyNumberFormat="1" applyFont="1" applyBorder="1" applyAlignment="1" applyProtection="1"/>
    <xf numFmtId="37" fontId="24" fillId="0" borderId="52" xfId="0" applyNumberFormat="1" applyFont="1" applyBorder="1" applyAlignment="1"/>
    <xf numFmtId="9" fontId="23" fillId="0" borderId="54" xfId="0" applyNumberFormat="1" applyFont="1" applyBorder="1" applyAlignment="1">
      <alignment horizontal="right" vertical="center"/>
    </xf>
    <xf numFmtId="9" fontId="23" fillId="0" borderId="13" xfId="0" applyNumberFormat="1" applyFont="1" applyBorder="1" applyAlignment="1">
      <alignment horizontal="right" vertical="center"/>
    </xf>
    <xf numFmtId="9" fontId="20" fillId="0" borderId="55" xfId="0" applyNumberFormat="1" applyFont="1" applyBorder="1" applyAlignment="1">
      <alignment horizontal="right" vertical="center"/>
    </xf>
    <xf numFmtId="0" fontId="22" fillId="0" borderId="0" xfId="0" applyFont="1" applyAlignment="1">
      <alignment horizontal="right"/>
    </xf>
    <xf numFmtId="0" fontId="21" fillId="0" borderId="0" xfId="0" applyFont="1" applyAlignment="1">
      <alignment horizontal="right" vertical="center"/>
    </xf>
    <xf numFmtId="0" fontId="21" fillId="0" borderId="0" xfId="0" applyFont="1" applyAlignment="1">
      <alignment horizontal="right"/>
    </xf>
    <xf numFmtId="165" fontId="24" fillId="0" borderId="10" xfId="3" applyNumberFormat="1" applyFont="1" applyBorder="1" applyAlignment="1" applyProtection="1"/>
    <xf numFmtId="0" fontId="24" fillId="0" borderId="4" xfId="0" applyFont="1" applyBorder="1" applyAlignment="1">
      <alignment wrapText="1"/>
    </xf>
    <xf numFmtId="17" fontId="20" fillId="0" borderId="4" xfId="0" applyNumberFormat="1" applyFont="1" applyBorder="1" applyAlignment="1">
      <alignment horizontal="center"/>
    </xf>
    <xf numFmtId="165" fontId="24" fillId="0" borderId="4" xfId="3" applyNumberFormat="1" applyFont="1" applyBorder="1" applyAlignment="1" applyProtection="1"/>
    <xf numFmtId="0" fontId="127" fillId="0" borderId="0" xfId="0" applyFont="1" applyAlignment="1"/>
    <xf numFmtId="0" fontId="130" fillId="0" borderId="0" xfId="0" applyFont="1" applyAlignment="1"/>
    <xf numFmtId="0" fontId="130" fillId="0" borderId="4" xfId="0" applyFont="1" applyBorder="1" applyAlignment="1"/>
    <xf numFmtId="0" fontId="133" fillId="0" borderId="0" xfId="0" applyFont="1" applyAlignment="1"/>
    <xf numFmtId="0" fontId="134" fillId="0" borderId="0" xfId="0" applyFont="1" applyAlignment="1"/>
    <xf numFmtId="0" fontId="24" fillId="0" borderId="1" xfId="0" applyFont="1" applyBorder="1" applyAlignment="1">
      <alignment wrapText="1"/>
    </xf>
    <xf numFmtId="0" fontId="24" fillId="0" borderId="30" xfId="0" applyFont="1" applyBorder="1" applyAlignment="1">
      <alignment wrapText="1"/>
    </xf>
    <xf numFmtId="0" fontId="24" fillId="0" borderId="30" xfId="0" applyFont="1" applyBorder="1" applyAlignment="1">
      <alignment horizontal="left" vertical="center" wrapText="1"/>
    </xf>
    <xf numFmtId="0" fontId="130" fillId="0" borderId="3" xfId="0" applyFont="1" applyBorder="1" applyAlignment="1"/>
    <xf numFmtId="165" fontId="24" fillId="0" borderId="3" xfId="3" applyNumberFormat="1" applyFont="1" applyBorder="1" applyAlignment="1" applyProtection="1"/>
    <xf numFmtId="0" fontId="24" fillId="0" borderId="7" xfId="0" applyFont="1" applyBorder="1" applyAlignment="1">
      <alignment horizontal="left" vertical="center" wrapText="1"/>
    </xf>
    <xf numFmtId="0" fontId="24" fillId="0" borderId="7" xfId="0" applyFont="1" applyBorder="1" applyAlignment="1">
      <alignment vertical="center" wrapText="1"/>
    </xf>
    <xf numFmtId="4" fontId="25" fillId="0" borderId="20" xfId="0" applyNumberFormat="1" applyFont="1" applyBorder="1" applyAlignment="1"/>
    <xf numFmtId="4" fontId="25" fillId="0" borderId="30" xfId="0" applyNumberFormat="1" applyFont="1" applyBorder="1" applyAlignment="1"/>
    <xf numFmtId="0" fontId="130" fillId="0" borderId="5" xfId="0" applyFont="1" applyBorder="1" applyAlignment="1"/>
    <xf numFmtId="4" fontId="25" fillId="0" borderId="7" xfId="0" applyNumberFormat="1" applyFont="1" applyBorder="1" applyAlignment="1"/>
    <xf numFmtId="0" fontId="24" fillId="0" borderId="1" xfId="0" applyFont="1" applyBorder="1" applyAlignment="1">
      <alignment horizontal="left"/>
    </xf>
    <xf numFmtId="0" fontId="25" fillId="0" borderId="30" xfId="0" applyFont="1" applyBorder="1" applyAlignment="1">
      <alignment vertical="center" wrapText="1"/>
    </xf>
    <xf numFmtId="0" fontId="130" fillId="0" borderId="1" xfId="0" applyFont="1" applyBorder="1" applyAlignment="1"/>
    <xf numFmtId="37" fontId="25" fillId="0" borderId="30" xfId="0" applyNumberFormat="1" applyFont="1" applyBorder="1" applyAlignment="1"/>
    <xf numFmtId="17" fontId="20" fillId="0" borderId="3" xfId="0" applyNumberFormat="1" applyFont="1" applyBorder="1" applyAlignment="1">
      <alignment horizontal="center"/>
    </xf>
    <xf numFmtId="37" fontId="25" fillId="0" borderId="7" xfId="0" applyNumberFormat="1" applyFont="1" applyBorder="1" applyAlignment="1"/>
    <xf numFmtId="165" fontId="24" fillId="0" borderId="5" xfId="3" applyNumberFormat="1" applyFont="1" applyBorder="1" applyAlignment="1" applyProtection="1"/>
    <xf numFmtId="165" fontId="24" fillId="0" borderId="8" xfId="3" applyNumberFormat="1" applyFont="1" applyBorder="1" applyAlignment="1" applyProtection="1"/>
    <xf numFmtId="165" fontId="24" fillId="0" borderId="7" xfId="3" applyNumberFormat="1" applyFont="1" applyBorder="1" applyAlignment="1" applyProtection="1"/>
    <xf numFmtId="0" fontId="130" fillId="0" borderId="7" xfId="0" applyFont="1" applyBorder="1" applyAlignment="1">
      <alignment wrapText="1"/>
    </xf>
    <xf numFmtId="0" fontId="44" fillId="0" borderId="4" xfId="0" applyFont="1" applyBorder="1" applyAlignment="1"/>
    <xf numFmtId="0" fontId="24" fillId="0" borderId="4" xfId="0" applyFont="1" applyBorder="1" applyAlignment="1">
      <alignment horizontal="left"/>
    </xf>
    <xf numFmtId="0" fontId="130" fillId="0" borderId="7" xfId="0" applyFont="1" applyBorder="1" applyAlignment="1">
      <alignment vertical="center"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21" fillId="0" borderId="4" xfId="0" applyFont="1" applyBorder="1" applyAlignment="1">
      <alignment horizontal="center"/>
    </xf>
    <xf numFmtId="0" fontId="21" fillId="0" borderId="0" xfId="0" applyFont="1" applyAlignment="1">
      <alignment horizontal="left"/>
    </xf>
    <xf numFmtId="0" fontId="22" fillId="0" borderId="0" xfId="0" applyFont="1" applyAlignment="1">
      <alignment horizontal="left"/>
    </xf>
    <xf numFmtId="0" fontId="57" fillId="7" borderId="1" xfId="0" applyFont="1" applyFill="1" applyBorder="1" applyAlignment="1">
      <alignment horizontal="center"/>
    </xf>
    <xf numFmtId="0" fontId="57" fillId="7" borderId="2" xfId="0" applyFont="1" applyFill="1" applyBorder="1" applyAlignment="1">
      <alignment horizontal="center"/>
    </xf>
    <xf numFmtId="0" fontId="57" fillId="3" borderId="2" xfId="0" applyFont="1" applyFill="1" applyBorder="1" applyAlignment="1">
      <alignment horizontal="center"/>
    </xf>
    <xf numFmtId="0" fontId="57" fillId="0" borderId="2" xfId="0" applyFont="1" applyBorder="1" applyAlignment="1">
      <alignment horizontal="center"/>
    </xf>
    <xf numFmtId="0" fontId="55" fillId="0" borderId="4" xfId="0" applyFont="1" applyBorder="1" applyAlignment="1">
      <alignment horizontal="center"/>
    </xf>
    <xf numFmtId="0" fontId="56" fillId="0" borderId="4" xfId="0" applyFont="1" applyBorder="1" applyAlignment="1">
      <alignment horizontal="center"/>
    </xf>
    <xf numFmtId="165" fontId="70" fillId="8" borderId="26" xfId="5" applyNumberFormat="1" applyFont="1" applyFill="1" applyBorder="1" applyAlignment="1" applyProtection="1">
      <alignment horizontal="center"/>
    </xf>
    <xf numFmtId="165" fontId="70" fillId="8" borderId="27" xfId="5" applyNumberFormat="1" applyFont="1" applyFill="1" applyBorder="1" applyAlignment="1" applyProtection="1">
      <alignment horizontal="center"/>
    </xf>
    <xf numFmtId="165" fontId="70" fillId="8" borderId="28" xfId="5" applyNumberFormat="1" applyFont="1" applyFill="1" applyBorder="1" applyAlignment="1" applyProtection="1">
      <alignment horizontal="center"/>
    </xf>
    <xf numFmtId="0" fontId="79" fillId="0" borderId="1" xfId="0" applyFont="1" applyBorder="1" applyAlignment="1">
      <alignment horizontal="center"/>
    </xf>
    <xf numFmtId="0" fontId="79" fillId="0" borderId="2" xfId="0" applyFont="1" applyBorder="1" applyAlignment="1">
      <alignment horizontal="center"/>
    </xf>
    <xf numFmtId="0" fontId="79" fillId="0" borderId="3" xfId="0" applyFont="1" applyBorder="1" applyAlignment="1">
      <alignment horizontal="center"/>
    </xf>
    <xf numFmtId="0" fontId="86" fillId="0" borderId="1" xfId="0" applyFont="1" applyBorder="1" applyAlignment="1">
      <alignment horizontal="center"/>
    </xf>
    <xf numFmtId="0" fontId="86" fillId="0" borderId="2" xfId="0" applyFont="1" applyBorder="1" applyAlignment="1">
      <alignment horizontal="center"/>
    </xf>
    <xf numFmtId="0" fontId="86" fillId="0" borderId="3" xfId="0" applyFont="1" applyBorder="1" applyAlignment="1">
      <alignment horizontal="center"/>
    </xf>
    <xf numFmtId="0" fontId="10" fillId="0" borderId="1"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109" fillId="0" borderId="26" xfId="0" applyFont="1" applyBorder="1" applyAlignment="1">
      <alignment horizontal="center" wrapText="1"/>
    </xf>
    <xf numFmtId="0" fontId="109" fillId="0" borderId="27" xfId="0" applyFont="1" applyBorder="1" applyAlignment="1">
      <alignment horizontal="center" wrapText="1"/>
    </xf>
    <xf numFmtId="0" fontId="109" fillId="0" borderId="45" xfId="0" applyFont="1" applyBorder="1" applyAlignment="1">
      <alignment horizontal="center" wrapText="1"/>
    </xf>
    <xf numFmtId="0" fontId="125" fillId="0" borderId="26" xfId="0" applyFont="1" applyBorder="1" applyAlignment="1">
      <alignment horizontal="left" vertical="top" wrapText="1"/>
    </xf>
    <xf numFmtId="0" fontId="125" fillId="0" borderId="27" xfId="0" applyFont="1" applyBorder="1" applyAlignment="1">
      <alignment horizontal="left" vertical="top" wrapText="1"/>
    </xf>
    <xf numFmtId="0" fontId="125" fillId="0" borderId="28" xfId="0" applyFont="1" applyBorder="1" applyAlignment="1">
      <alignment horizontal="left" vertical="top" wrapText="1"/>
    </xf>
    <xf numFmtId="0" fontId="21" fillId="0" borderId="0" xfId="0" applyFont="1" applyAlignment="1">
      <alignment horizontal="left" vertical="top" wrapText="1"/>
    </xf>
    <xf numFmtId="0" fontId="131" fillId="0" borderId="0" xfId="0" applyFont="1" applyAlignment="1">
      <alignment horizontal="left"/>
    </xf>
  </cellXfs>
  <cellStyles count="8">
    <cellStyle name="Comma" xfId="3" builtinId="3"/>
    <cellStyle name="Comma 2" xfId="1" xr:uid="{00000000-0005-0000-0000-000001000000}"/>
    <cellStyle name="Comma 2 2" xfId="5" xr:uid="{00000000-0005-0000-0000-000002000000}"/>
    <cellStyle name="Comma 3" xfId="2" xr:uid="{00000000-0005-0000-0000-000003000000}"/>
    <cellStyle name="Normal" xfId="0" builtinId="0"/>
    <cellStyle name="Normal 3 2 4 2" xfId="7" xr:uid="{00000000-0005-0000-0000-000005000000}"/>
    <cellStyle name="Per cent" xfId="4" builtinId="5"/>
    <cellStyle name="Percent 2"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www.wps.cn/officeDocument/2020/cellImage" Target="NUL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520and%2520Settings/FINANCE/2010/Reports/Forecast%25202010%2520and%2520Budget%25202011/Forecast%2520Income%2520Statement%2520Full%2520Year%25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0 Forecast Key Figures"/>
      <sheetName val="Oct 2010 MEIL Income Statement"/>
      <sheetName val="PY MEIL Mtd &amp; Ytd IS"/>
      <sheetName val="MEIL Mtd &amp; Ytd IS"/>
      <sheetName val="Oct 2010 OCK Income Statement"/>
      <sheetName val="MEIL 2010 Revised Bdgt Mgnt"/>
      <sheetName val="OCK Mtd &amp; Ytd IS"/>
      <sheetName val="PY FY vs Budget"/>
      <sheetName val="OCK PY Mtd &amp; Ytd IS"/>
      <sheetName val="OCK PY FY Vs Budget"/>
      <sheetName val="OCK 2010 Revised Bdgt Mgnt"/>
      <sheetName val="Debtors List MEIL &amp; ock"/>
      <sheetName val="Cash Flow Porjection 2011"/>
      <sheetName val="Payables List MEIL &amp; OCK"/>
      <sheetName val="Debtors statistics"/>
      <sheetName val="Creditors Statistics"/>
      <sheetName val="MEIL 2011 Budget"/>
      <sheetName val="OCK 2011 Budget"/>
    </sheetNames>
    <sheetDataSet>
      <sheetData sheetId="0"/>
      <sheetData sheetId="1">
        <row r="16">
          <cell r="F16">
            <v>14854000.140000001</v>
          </cell>
        </row>
        <row r="19">
          <cell r="F19">
            <v>5701705.2960099997</v>
          </cell>
        </row>
      </sheetData>
      <sheetData sheetId="2"/>
      <sheetData sheetId="3"/>
      <sheetData sheetId="4">
        <row r="14">
          <cell r="E14">
            <v>4117384.6850000001</v>
          </cell>
          <cell r="F14">
            <v>4117385</v>
          </cell>
          <cell r="M14">
            <v>851482</v>
          </cell>
        </row>
        <row r="17">
          <cell r="E17">
            <v>823476.93700000003</v>
          </cell>
          <cell r="F17">
            <v>823477</v>
          </cell>
          <cell r="M17">
            <v>86700</v>
          </cell>
        </row>
      </sheetData>
      <sheetData sheetId="5"/>
      <sheetData sheetId="6"/>
      <sheetData sheetId="7"/>
      <sheetData sheetId="8"/>
      <sheetData sheetId="9"/>
      <sheetData sheetId="10"/>
      <sheetData sheetId="11"/>
      <sheetData sheetId="12"/>
      <sheetData sheetId="13">
        <row r="95">
          <cell r="G95">
            <v>14459365.6</v>
          </cell>
        </row>
      </sheetData>
      <sheetData sheetId="14">
        <row r="5">
          <cell r="G5">
            <v>19305776.859999999</v>
          </cell>
        </row>
        <row r="6">
          <cell r="H6">
            <v>10045013</v>
          </cell>
        </row>
        <row r="7">
          <cell r="H7">
            <v>6344273.1299999999</v>
          </cell>
        </row>
        <row r="8">
          <cell r="H8">
            <v>9442102.1699999999</v>
          </cell>
        </row>
        <row r="9">
          <cell r="H9">
            <v>6082000.3700000001</v>
          </cell>
        </row>
        <row r="12">
          <cell r="H12">
            <v>8628105.1400000006</v>
          </cell>
        </row>
        <row r="29">
          <cell r="G29">
            <v>7777953</v>
          </cell>
        </row>
      </sheetData>
      <sheetData sheetId="15">
        <row r="5">
          <cell r="G5">
            <v>17779628.130000003</v>
          </cell>
        </row>
        <row r="6">
          <cell r="H6">
            <v>3577324.49</v>
          </cell>
        </row>
        <row r="7">
          <cell r="H7">
            <v>4182410.11</v>
          </cell>
        </row>
        <row r="8">
          <cell r="H8">
            <v>3732311.27</v>
          </cell>
        </row>
        <row r="9">
          <cell r="H9">
            <v>1188132.78</v>
          </cell>
        </row>
        <row r="10">
          <cell r="H10">
            <v>1380378</v>
          </cell>
        </row>
        <row r="11">
          <cell r="H11">
            <v>7354182.1711999997</v>
          </cell>
        </row>
        <row r="12">
          <cell r="H12">
            <v>4797535</v>
          </cell>
        </row>
        <row r="28">
          <cell r="G28">
            <v>582334.87000000011</v>
          </cell>
        </row>
      </sheetData>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7"/>
  <sheetViews>
    <sheetView showGridLines="0" workbookViewId="0">
      <pane xSplit="1" ySplit="10" topLeftCell="B11" activePane="bottomRight" state="frozen"/>
      <selection pane="topRight"/>
      <selection pane="bottomLeft"/>
      <selection pane="bottomRight" activeCell="A20" sqref="A20"/>
    </sheetView>
  </sheetViews>
  <sheetFormatPr defaultColWidth="10" defaultRowHeight="15.5" x14ac:dyDescent="0.35"/>
  <cols>
    <col min="1" max="1" width="51" style="1" customWidth="1"/>
    <col min="2" max="5" width="12.453125" style="2" customWidth="1"/>
    <col min="6" max="7" width="17.1796875" style="2" customWidth="1"/>
    <col min="8" max="13" width="17.1796875" style="3" customWidth="1"/>
    <col min="14" max="14" width="12.54296875" customWidth="1"/>
    <col min="15" max="15" width="11.54296875" bestFit="1" customWidth="1"/>
  </cols>
  <sheetData>
    <row r="1" spans="1:14" hidden="1" x14ac:dyDescent="0.35"/>
    <row r="2" spans="1:14" hidden="1" x14ac:dyDescent="0.35"/>
    <row r="3" spans="1:14" hidden="1" x14ac:dyDescent="0.35"/>
    <row r="4" spans="1:14" hidden="1" x14ac:dyDescent="0.35"/>
    <row r="5" spans="1:14" hidden="1" x14ac:dyDescent="0.35"/>
    <row r="6" spans="1:14" hidden="1" x14ac:dyDescent="0.35"/>
    <row r="7" spans="1:14" hidden="1" x14ac:dyDescent="0.35"/>
    <row r="8" spans="1:14" ht="21" customHeight="1" x14ac:dyDescent="0.5">
      <c r="A8" s="581" t="s">
        <v>352</v>
      </c>
      <c r="B8" s="582"/>
      <c r="C8" s="582"/>
      <c r="D8" s="582"/>
      <c r="E8" s="582"/>
      <c r="F8" s="582"/>
      <c r="G8" s="582"/>
      <c r="H8" s="582"/>
      <c r="I8" s="582"/>
      <c r="J8" s="582"/>
      <c r="K8" s="582"/>
      <c r="L8" s="582"/>
      <c r="M8" s="583"/>
    </row>
    <row r="9" spans="1:14" s="1" customFormat="1" ht="21" customHeight="1" x14ac:dyDescent="0.45">
      <c r="A9" s="584" t="s">
        <v>351</v>
      </c>
      <c r="B9" s="585"/>
      <c r="C9" s="585"/>
      <c r="D9" s="585"/>
      <c r="E9" s="585"/>
      <c r="F9" s="585"/>
      <c r="G9" s="585"/>
      <c r="H9" s="585"/>
      <c r="I9" s="585"/>
      <c r="J9" s="585"/>
      <c r="K9" s="585"/>
      <c r="L9" s="585"/>
      <c r="M9" s="586"/>
    </row>
    <row r="10" spans="1:14" s="4" customFormat="1" ht="21" customHeight="1" x14ac:dyDescent="0.35">
      <c r="A10" s="5"/>
      <c r="B10" s="6" t="s">
        <v>135</v>
      </c>
      <c r="C10" s="6" t="s">
        <v>136</v>
      </c>
      <c r="D10" s="6" t="s">
        <v>137</v>
      </c>
      <c r="E10" s="6" t="s">
        <v>138</v>
      </c>
      <c r="F10" s="6" t="s">
        <v>117</v>
      </c>
      <c r="G10" s="6" t="s">
        <v>139</v>
      </c>
      <c r="H10" s="6" t="s">
        <v>140</v>
      </c>
      <c r="I10" s="6" t="s">
        <v>141</v>
      </c>
      <c r="J10" s="6" t="s">
        <v>142</v>
      </c>
      <c r="K10" s="6" t="s">
        <v>143</v>
      </c>
      <c r="L10" s="6" t="s">
        <v>144</v>
      </c>
      <c r="M10" s="6" t="s">
        <v>134</v>
      </c>
    </row>
    <row r="11" spans="1:14" ht="21" customHeight="1" x14ac:dyDescent="0.35">
      <c r="A11" s="7" t="s">
        <v>145</v>
      </c>
      <c r="B11" s="8">
        <v>9491688</v>
      </c>
      <c r="C11" s="9" t="e">
        <f>+B32</f>
        <v>#REF!</v>
      </c>
      <c r="D11" s="9" t="e">
        <f>+C32</f>
        <v>#REF!</v>
      </c>
      <c r="E11" s="9">
        <f>2532827.48+2379824-5535-307742</f>
        <v>4599374.4800000004</v>
      </c>
      <c r="F11" s="9">
        <v>2532827</v>
      </c>
      <c r="G11" s="9">
        <v>-40080945</v>
      </c>
      <c r="H11" s="9" t="e">
        <f t="shared" ref="H11:M11" si="0">+G32</f>
        <v>#REF!</v>
      </c>
      <c r="I11" s="9" t="e">
        <f t="shared" si="0"/>
        <v>#REF!</v>
      </c>
      <c r="J11" s="9" t="e">
        <f t="shared" si="0"/>
        <v>#REF!</v>
      </c>
      <c r="K11" s="9" t="e">
        <f t="shared" si="0"/>
        <v>#REF!</v>
      </c>
      <c r="L11" s="9" t="e">
        <f t="shared" si="0"/>
        <v>#REF!</v>
      </c>
      <c r="M11" s="9" t="e">
        <f t="shared" si="0"/>
        <v>#REF!</v>
      </c>
    </row>
    <row r="12" spans="1:14" ht="21" customHeight="1" x14ac:dyDescent="0.45">
      <c r="A12" s="10" t="s">
        <v>203</v>
      </c>
      <c r="B12" s="11"/>
      <c r="C12" s="11"/>
      <c r="D12" s="11"/>
      <c r="E12" s="11"/>
      <c r="F12" s="11"/>
      <c r="G12" s="11"/>
      <c r="H12" s="11"/>
      <c r="I12" s="11"/>
      <c r="J12" s="11"/>
      <c r="K12" s="11"/>
      <c r="L12" s="11"/>
      <c r="M12" s="11"/>
    </row>
    <row r="13" spans="1:14" ht="21" customHeight="1" x14ac:dyDescent="0.35">
      <c r="A13" s="12" t="s">
        <v>199</v>
      </c>
      <c r="B13" s="13" t="e">
        <f>+'Debtors and Creditors Movement'!K15</f>
        <v>#REF!</v>
      </c>
      <c r="C13" s="13" t="e">
        <f>+'Debtors and Creditors Movement'!L15</f>
        <v>#REF!</v>
      </c>
      <c r="D13" s="13" t="e">
        <f>+'Debtors and Creditors Movement'!M15</f>
        <v>#REF!</v>
      </c>
      <c r="E13" s="13" t="e">
        <f>+'Debtors and Creditors Movement'!N15</f>
        <v>#REF!</v>
      </c>
      <c r="F13" s="13" t="e">
        <f>+'Debtors and Creditors Movement'!O15</f>
        <v>#REF!</v>
      </c>
      <c r="G13" s="13" t="e">
        <f>+'Debtors and Creditors Movement'!P15</f>
        <v>#REF!</v>
      </c>
      <c r="H13" s="13" t="e">
        <f>+'Debtors and Creditors Movement'!Q15</f>
        <v>#REF!</v>
      </c>
      <c r="I13" s="13" t="e">
        <f>+'Debtors and Creditors Movement'!R15</f>
        <v>#REF!</v>
      </c>
      <c r="J13" s="13" t="e">
        <f>+'Debtors and Creditors Movement'!S15</f>
        <v>#REF!</v>
      </c>
      <c r="K13" s="13" t="e">
        <f>+'Debtors and Creditors Movement'!T15</f>
        <v>#REF!</v>
      </c>
      <c r="L13" s="13" t="e">
        <f>+'Debtors and Creditors Movement'!U15</f>
        <v>#REF!</v>
      </c>
      <c r="M13" s="13" t="e">
        <f>+'Debtors and Creditors Movement'!V15</f>
        <v>#REF!</v>
      </c>
      <c r="N13" s="14" t="e">
        <f>SUM(B13:M13)</f>
        <v>#REF!</v>
      </c>
    </row>
    <row r="14" spans="1:14" ht="21" customHeight="1" x14ac:dyDescent="0.35">
      <c r="A14" s="15" t="s">
        <v>200</v>
      </c>
      <c r="B14" s="16"/>
      <c r="C14" s="16"/>
      <c r="D14" s="16"/>
      <c r="E14" s="16"/>
      <c r="F14" s="16"/>
      <c r="G14" s="16"/>
      <c r="H14" s="16"/>
      <c r="I14" s="16"/>
      <c r="J14" s="16"/>
      <c r="K14" s="16"/>
      <c r="L14" s="16"/>
      <c r="M14" s="16"/>
    </row>
    <row r="15" spans="1:14" s="17" customFormat="1" ht="21" customHeight="1" x14ac:dyDescent="0.35">
      <c r="A15" s="18" t="s">
        <v>150</v>
      </c>
      <c r="B15" s="19" t="e">
        <f t="shared" ref="B15:M15" si="1">SUM(B13:B14)</f>
        <v>#REF!</v>
      </c>
      <c r="C15" s="20" t="e">
        <f t="shared" si="1"/>
        <v>#REF!</v>
      </c>
      <c r="D15" s="20" t="e">
        <f t="shared" si="1"/>
        <v>#REF!</v>
      </c>
      <c r="E15" s="20" t="e">
        <f t="shared" si="1"/>
        <v>#REF!</v>
      </c>
      <c r="F15" s="20" t="e">
        <f t="shared" si="1"/>
        <v>#REF!</v>
      </c>
      <c r="G15" s="20" t="e">
        <f t="shared" si="1"/>
        <v>#REF!</v>
      </c>
      <c r="H15" s="20" t="e">
        <f t="shared" si="1"/>
        <v>#REF!</v>
      </c>
      <c r="I15" s="20" t="e">
        <f t="shared" si="1"/>
        <v>#REF!</v>
      </c>
      <c r="J15" s="20" t="e">
        <f t="shared" si="1"/>
        <v>#REF!</v>
      </c>
      <c r="K15" s="20" t="e">
        <f t="shared" si="1"/>
        <v>#REF!</v>
      </c>
      <c r="L15" s="20" t="e">
        <f t="shared" si="1"/>
        <v>#REF!</v>
      </c>
      <c r="M15" s="20" t="e">
        <f t="shared" si="1"/>
        <v>#REF!</v>
      </c>
    </row>
    <row r="16" spans="1:14" s="17" customFormat="1" ht="21" customHeight="1" x14ac:dyDescent="0.35">
      <c r="A16" s="7"/>
      <c r="B16" s="21"/>
      <c r="C16" s="21"/>
      <c r="D16" s="21"/>
      <c r="E16" s="21"/>
      <c r="F16" s="21"/>
      <c r="G16" s="21"/>
      <c r="H16" s="21"/>
      <c r="I16" s="21"/>
      <c r="J16" s="21"/>
      <c r="K16" s="21"/>
      <c r="L16" s="21"/>
      <c r="M16" s="21"/>
    </row>
    <row r="17" spans="1:15" s="22" customFormat="1" ht="21" customHeight="1" x14ac:dyDescent="0.45">
      <c r="A17" s="10" t="s">
        <v>201</v>
      </c>
      <c r="B17" s="23"/>
      <c r="C17" s="23"/>
      <c r="D17" s="23"/>
      <c r="E17" s="23"/>
      <c r="F17" s="23"/>
      <c r="G17" s="23"/>
      <c r="H17" s="24"/>
      <c r="I17" s="24"/>
      <c r="J17" s="24"/>
      <c r="K17" s="24"/>
      <c r="L17" s="24"/>
      <c r="M17" s="24"/>
    </row>
    <row r="18" spans="1:15" ht="21" customHeight="1" x14ac:dyDescent="0.35">
      <c r="A18" s="12" t="s">
        <v>299</v>
      </c>
      <c r="B18" s="25">
        <f>+'Debtors and Creditors Movement'!K32</f>
        <v>3368970.7948685051</v>
      </c>
      <c r="C18" s="25">
        <f>+'Debtors and Creditors Movement'!L32</f>
        <v>7105289.2783692526</v>
      </c>
      <c r="D18" s="25">
        <f>+'Debtors and Creditors Movement'!M32</f>
        <v>4790691.6114965957</v>
      </c>
      <c r="E18" s="25">
        <f>+'Debtors and Creditors Movement'!N32</f>
        <v>6386547.5204117578</v>
      </c>
      <c r="F18" s="25" t="e">
        <f>+'Debtors and Creditors Movement'!O48</f>
        <v>#REF!</v>
      </c>
      <c r="G18" s="25" t="e">
        <f>+'Debtors and Creditors Movement'!P48</f>
        <v>#REF!</v>
      </c>
      <c r="H18" s="25" t="e">
        <f>+'Debtors and Creditors Movement'!Q48</f>
        <v>#REF!</v>
      </c>
      <c r="I18" s="25" t="e">
        <f>+'Debtors and Creditors Movement'!R48</f>
        <v>#REF!</v>
      </c>
      <c r="J18" s="25" t="e">
        <f>+'Debtors and Creditors Movement'!S48</f>
        <v>#REF!</v>
      </c>
      <c r="K18" s="25" t="e">
        <f>+'Debtors and Creditors Movement'!T48</f>
        <v>#REF!</v>
      </c>
      <c r="L18" s="25" t="e">
        <f>+'Debtors and Creditors Movement'!U48</f>
        <v>#REF!</v>
      </c>
      <c r="M18" s="25" t="e">
        <f>+'Debtors and Creditors Movement'!V48</f>
        <v>#REF!</v>
      </c>
      <c r="N18" s="14" t="e">
        <f>SUM(B18:M18)</f>
        <v>#REF!</v>
      </c>
    </row>
    <row r="19" spans="1:15" s="17" customFormat="1" ht="21" customHeight="1" x14ac:dyDescent="0.35">
      <c r="A19" s="12" t="s">
        <v>300</v>
      </c>
      <c r="B19" s="26" t="e">
        <f>(+#REF!+#REF!)*0.7</f>
        <v>#REF!</v>
      </c>
      <c r="C19" s="26" t="e">
        <f>(+#REF!+#REF!)*0.7</f>
        <v>#REF!</v>
      </c>
      <c r="D19" s="26" t="e">
        <f>(+#REF!+#REF!)*0.7</f>
        <v>#REF!</v>
      </c>
      <c r="E19" s="26" t="e">
        <f>(+#REF!+#REF!)*0.7</f>
        <v>#REF!</v>
      </c>
      <c r="F19" s="26" t="e">
        <f>(+#REF!+#REF!)*0.7</f>
        <v>#REF!</v>
      </c>
      <c r="G19" s="26" t="e">
        <f>(+#REF!+#REF!)*0.7</f>
        <v>#REF!</v>
      </c>
      <c r="H19" s="26" t="e">
        <f>(+#REF!+#REF!)*0.7</f>
        <v>#REF!</v>
      </c>
      <c r="I19" s="26" t="e">
        <f>(+#REF!+#REF!)*0.7</f>
        <v>#REF!</v>
      </c>
      <c r="J19" s="26" t="e">
        <f>(+#REF!+#REF!)*0.7</f>
        <v>#REF!</v>
      </c>
      <c r="K19" s="26" t="e">
        <f>(+#REF!+#REF!)*0.7</f>
        <v>#REF!</v>
      </c>
      <c r="L19" s="26" t="e">
        <f>(+#REF!+#REF!)*0.7</f>
        <v>#REF!</v>
      </c>
      <c r="M19" s="26" t="e">
        <f>(+#REF!+#REF!)*0.7</f>
        <v>#REF!</v>
      </c>
    </row>
    <row r="20" spans="1:15" s="17" customFormat="1" ht="21" customHeight="1" x14ac:dyDescent="0.35">
      <c r="A20" s="12" t="s">
        <v>301</v>
      </c>
      <c r="B20" s="26" t="e">
        <f>+#REF!+(B19/0.7*0.3)</f>
        <v>#REF!</v>
      </c>
      <c r="C20" s="26" t="e">
        <f>+#REF!+(C19/0.7*0.3)</f>
        <v>#REF!</v>
      </c>
      <c r="D20" s="26" t="e">
        <f>+#REF!+(D19/0.7*0.3)</f>
        <v>#REF!</v>
      </c>
      <c r="E20" s="26" t="e">
        <f>+#REF!+(E19/0.7*0.3)</f>
        <v>#REF!</v>
      </c>
      <c r="F20" s="26" t="e">
        <f>+#REF!+(F19/0.7*0.3)</f>
        <v>#REF!</v>
      </c>
      <c r="G20" s="26" t="e">
        <f>+#REF!+(G19/0.7*0.3)</f>
        <v>#REF!</v>
      </c>
      <c r="H20" s="26" t="e">
        <f>+#REF!+(H19/0.7*0.3)</f>
        <v>#REF!</v>
      </c>
      <c r="I20" s="26" t="e">
        <f>+#REF!+(I19/0.7*0.3)</f>
        <v>#REF!</v>
      </c>
      <c r="J20" s="26" t="e">
        <f>+#REF!+(J19/0.7*0.3)</f>
        <v>#REF!</v>
      </c>
      <c r="K20" s="26" t="e">
        <f>+#REF!+(K19/0.7*0.3)</f>
        <v>#REF!</v>
      </c>
      <c r="L20" s="26" t="e">
        <f>+#REF!+(L19/0.7*0.3)</f>
        <v>#REF!</v>
      </c>
      <c r="M20" s="26" t="e">
        <f>+#REF!+(M19/0.7*0.3)</f>
        <v>#REF!</v>
      </c>
    </row>
    <row r="21" spans="1:15" ht="21" customHeight="1" x14ac:dyDescent="0.35">
      <c r="A21" s="12" t="s">
        <v>302</v>
      </c>
      <c r="B21" s="25" t="e">
        <f>+#REF!-'Cash flow2013'!B20-'Cash flow2013'!B19</f>
        <v>#REF!</v>
      </c>
      <c r="C21" s="25" t="e">
        <f>+#REF!-'Cash flow2013'!C20-'Cash flow2013'!C19</f>
        <v>#REF!</v>
      </c>
      <c r="D21" s="25" t="e">
        <f>+#REF!-'Cash flow2013'!D20-'Cash flow2013'!D19</f>
        <v>#REF!</v>
      </c>
      <c r="E21" s="25" t="e">
        <f>+#REF!-'Cash flow2013'!E20-'Cash flow2013'!E19</f>
        <v>#REF!</v>
      </c>
      <c r="F21" s="25" t="e">
        <f>+#REF!-'Cash flow2013'!F20-'Cash flow2013'!F19</f>
        <v>#REF!</v>
      </c>
      <c r="G21" s="25" t="e">
        <f>+#REF!-'Cash flow2013'!G20-'Cash flow2013'!G19</f>
        <v>#REF!</v>
      </c>
      <c r="H21" s="25" t="e">
        <f>+#REF!-'Cash flow2013'!H20-'Cash flow2013'!H19</f>
        <v>#REF!</v>
      </c>
      <c r="I21" s="25" t="e">
        <f>+#REF!-'Cash flow2013'!I20-'Cash flow2013'!I19</f>
        <v>#REF!</v>
      </c>
      <c r="J21" s="25" t="e">
        <f>+#REF!-'Cash flow2013'!J20-'Cash flow2013'!J19</f>
        <v>#REF!</v>
      </c>
      <c r="K21" s="25" t="e">
        <f>+#REF!-'Cash flow2013'!K20-'Cash flow2013'!K19</f>
        <v>#REF!</v>
      </c>
      <c r="L21" s="25" t="e">
        <f>+#REF!-'Cash flow2013'!L20-'Cash flow2013'!L19</f>
        <v>#REF!</v>
      </c>
      <c r="M21" s="25" t="e">
        <f>+#REF!-'Cash flow2013'!M20-'Cash flow2013'!M19</f>
        <v>#REF!</v>
      </c>
      <c r="N21" s="14" t="e">
        <f>SUM(B21:M21)</f>
        <v>#REF!</v>
      </c>
    </row>
    <row r="22" spans="1:15" s="27" customFormat="1" ht="21" customHeight="1" x14ac:dyDescent="0.35">
      <c r="A22" s="15" t="s">
        <v>310</v>
      </c>
      <c r="B22" s="28">
        <v>0</v>
      </c>
      <c r="C22" s="28">
        <f>+B22</f>
        <v>0</v>
      </c>
      <c r="D22" s="28">
        <f>+C22</f>
        <v>0</v>
      </c>
      <c r="E22" s="28">
        <f>+D22</f>
        <v>0</v>
      </c>
      <c r="F22" s="28">
        <v>1500000</v>
      </c>
      <c r="G22" s="28">
        <v>0</v>
      </c>
      <c r="H22" s="28">
        <v>0</v>
      </c>
      <c r="I22" s="28">
        <f>+H22</f>
        <v>0</v>
      </c>
      <c r="J22" s="28">
        <f>+I22</f>
        <v>0</v>
      </c>
      <c r="K22" s="28">
        <f>+J22</f>
        <v>0</v>
      </c>
      <c r="L22" s="28">
        <f>+K22</f>
        <v>0</v>
      </c>
      <c r="M22" s="28">
        <f>+L22</f>
        <v>0</v>
      </c>
      <c r="O22" s="29"/>
    </row>
    <row r="23" spans="1:15" s="27" customFormat="1" ht="21" customHeight="1" x14ac:dyDescent="0.35">
      <c r="A23" s="15" t="s">
        <v>205</v>
      </c>
      <c r="B23" s="28">
        <v>371541</v>
      </c>
      <c r="C23" s="28" t="e">
        <f>+'Debtors and Creditors Movement'!K6*0.16-'Debtors and Creditors Movement'!K21*0.16</f>
        <v>#REF!</v>
      </c>
      <c r="D23" s="28" t="e">
        <f>+'Debtors and Creditors Movement'!L6*0.16-'Debtors and Creditors Movement'!L21*0.16</f>
        <v>#REF!</v>
      </c>
      <c r="E23" s="28" t="e">
        <f>+'Debtors and Creditors Movement'!M6*0.16-'Debtors and Creditors Movement'!M21*0.16</f>
        <v>#REF!</v>
      </c>
      <c r="F23" s="28">
        <v>450000</v>
      </c>
      <c r="G23" s="28" t="e">
        <f>+'Debtors and Creditors Movement'!O6*0.16-'Debtors and Creditors Movement'!O21*0.16</f>
        <v>#REF!</v>
      </c>
      <c r="H23" s="28" t="e">
        <f>+'Debtors and Creditors Movement'!P6*0.16-'Debtors and Creditors Movement'!P21*0.16</f>
        <v>#REF!</v>
      </c>
      <c r="I23" s="28" t="e">
        <f>+'Debtors and Creditors Movement'!Q6*0.16-'Debtors and Creditors Movement'!Q21*0.16</f>
        <v>#REF!</v>
      </c>
      <c r="J23" s="28" t="e">
        <f>+'Debtors and Creditors Movement'!R6*0.16-'Debtors and Creditors Movement'!R21*0.16</f>
        <v>#REF!</v>
      </c>
      <c r="K23" s="28" t="e">
        <f>+'Debtors and Creditors Movement'!S6*0.16-'Debtors and Creditors Movement'!S21*0.16</f>
        <v>#REF!</v>
      </c>
      <c r="L23" s="28" t="e">
        <f>+'Debtors and Creditors Movement'!T6*0.16-'Debtors and Creditors Movement'!T21*0.16</f>
        <v>#REF!</v>
      </c>
      <c r="M23" s="28" t="e">
        <f>+'Debtors and Creditors Movement'!U6*0.16-'Debtors and Creditors Movement'!U21*0.16</f>
        <v>#REF!</v>
      </c>
    </row>
    <row r="24" spans="1:15" s="27" customFormat="1" ht="21" customHeight="1" x14ac:dyDescent="0.35">
      <c r="A24" s="15" t="s">
        <v>332</v>
      </c>
      <c r="B24" s="28"/>
      <c r="C24" s="28"/>
      <c r="D24" s="28"/>
      <c r="E24" s="28"/>
      <c r="F24" s="28"/>
      <c r="G24" s="28">
        <f>+F24+3000000</f>
        <v>3000000</v>
      </c>
      <c r="H24" s="28">
        <v>2000000</v>
      </c>
      <c r="I24" s="28">
        <f>+H24</f>
        <v>2000000</v>
      </c>
      <c r="J24" s="28">
        <f>+I24</f>
        <v>2000000</v>
      </c>
      <c r="K24" s="28">
        <f>+J24</f>
        <v>2000000</v>
      </c>
      <c r="L24" s="28">
        <v>1500000</v>
      </c>
      <c r="M24" s="28">
        <f>+L24</f>
        <v>1500000</v>
      </c>
    </row>
    <row r="25" spans="1:15" s="27" customFormat="1" ht="21" customHeight="1" x14ac:dyDescent="0.35">
      <c r="A25" s="15" t="s">
        <v>155</v>
      </c>
      <c r="B25" s="28"/>
      <c r="C25" s="28"/>
      <c r="D25" s="28"/>
      <c r="E25" s="28">
        <v>360000</v>
      </c>
      <c r="F25" s="28"/>
      <c r="G25" s="28">
        <v>360000</v>
      </c>
      <c r="H25" s="16"/>
      <c r="I25" s="16"/>
      <c r="J25" s="16">
        <v>360000</v>
      </c>
      <c r="K25" s="16"/>
      <c r="L25" s="16"/>
      <c r="M25" s="16">
        <v>360000</v>
      </c>
    </row>
    <row r="26" spans="1:15" s="27" customFormat="1" ht="21" customHeight="1" x14ac:dyDescent="0.35">
      <c r="A26" s="15" t="s">
        <v>306</v>
      </c>
      <c r="B26" s="30"/>
      <c r="C26" s="28"/>
      <c r="D26" s="30"/>
      <c r="E26" s="28"/>
      <c r="F26" s="28">
        <f>+'Debtors and Creditors Movement'!O46</f>
        <v>833333.33333333337</v>
      </c>
      <c r="G26" s="28">
        <f>+'Debtors and Creditors Movement'!P46</f>
        <v>833333.33333333337</v>
      </c>
      <c r="H26" s="28">
        <f>+'Debtors and Creditors Movement'!Q46</f>
        <v>833333.33333333337</v>
      </c>
      <c r="I26" s="28">
        <f>+'Debtors and Creditors Movement'!R46</f>
        <v>833333.33333333337</v>
      </c>
      <c r="J26" s="28">
        <f>+'Debtors and Creditors Movement'!S46</f>
        <v>833333.33333333337</v>
      </c>
      <c r="K26" s="28">
        <f>+'Debtors and Creditors Movement'!T46</f>
        <v>833333.33333333337</v>
      </c>
      <c r="L26" s="28">
        <f>+'Debtors and Creditors Movement'!U46</f>
        <v>833333.33333333337</v>
      </c>
      <c r="M26" s="28">
        <f>+'Debtors and Creditors Movement'!V46</f>
        <v>833333.33333333337</v>
      </c>
    </row>
    <row r="27" spans="1:15" s="27" customFormat="1" ht="21" customHeight="1" x14ac:dyDescent="0.35">
      <c r="A27" s="15" t="s">
        <v>307</v>
      </c>
      <c r="B27" s="30"/>
      <c r="C27" s="28"/>
      <c r="D27" s="30"/>
      <c r="E27" s="28"/>
      <c r="F27" s="28">
        <f>+'Debtors and Creditors Movement'!O47</f>
        <v>1500000</v>
      </c>
      <c r="G27" s="28">
        <f>+'Debtors and Creditors Movement'!P47</f>
        <v>2000000</v>
      </c>
      <c r="H27" s="28">
        <f>+'Debtors and Creditors Movement'!Q47</f>
        <v>2000000</v>
      </c>
      <c r="I27" s="28">
        <f>+'Debtors and Creditors Movement'!R47</f>
        <v>2000000</v>
      </c>
      <c r="J27" s="28">
        <f>+'Debtors and Creditors Movement'!S47</f>
        <v>2000000</v>
      </c>
      <c r="K27" s="28">
        <f>+'Debtors and Creditors Movement'!T47</f>
        <v>2000000</v>
      </c>
      <c r="L27" s="28"/>
      <c r="M27" s="28"/>
    </row>
    <row r="28" spans="1:15" s="27" customFormat="1" ht="21" customHeight="1" x14ac:dyDescent="0.35">
      <c r="A28" s="15" t="s">
        <v>319</v>
      </c>
      <c r="C28" s="28">
        <f>+'CapEx Safaricom Preq'!E52</f>
        <v>240000</v>
      </c>
      <c r="E28" s="28">
        <f>+'CapEx Safaricom Preq'!G52</f>
        <v>610000</v>
      </c>
      <c r="F28" s="28">
        <v>1400000</v>
      </c>
      <c r="G28" s="28">
        <f>+'CapEx Chase Bank'!H52</f>
        <v>919000</v>
      </c>
      <c r="H28" s="28">
        <f>+'CapEx Chase Bank'!I52</f>
        <v>1000000</v>
      </c>
      <c r="I28" s="28"/>
      <c r="J28" s="28"/>
      <c r="K28" s="28"/>
      <c r="L28" s="28"/>
      <c r="M28" s="28"/>
    </row>
    <row r="29" spans="1:15" ht="21" customHeight="1" x14ac:dyDescent="0.35">
      <c r="A29" s="31" t="s">
        <v>157</v>
      </c>
      <c r="B29" s="32"/>
      <c r="C29" s="32"/>
      <c r="D29" s="32"/>
      <c r="E29" s="32"/>
      <c r="F29" s="32"/>
      <c r="G29" s="32"/>
      <c r="H29" s="16"/>
      <c r="I29" s="16"/>
      <c r="J29" s="16"/>
      <c r="K29" s="16"/>
      <c r="L29" s="16"/>
      <c r="M29" s="16"/>
    </row>
    <row r="30" spans="1:15" s="17" customFormat="1" ht="21" customHeight="1" x14ac:dyDescent="0.35">
      <c r="A30" s="31" t="s">
        <v>158</v>
      </c>
      <c r="B30" s="33" t="e">
        <f t="shared" ref="B30:M30" si="2">SUM(B18:B29)</f>
        <v>#REF!</v>
      </c>
      <c r="C30" s="34" t="e">
        <f t="shared" si="2"/>
        <v>#REF!</v>
      </c>
      <c r="D30" s="34" t="e">
        <f t="shared" si="2"/>
        <v>#REF!</v>
      </c>
      <c r="E30" s="34" t="e">
        <f t="shared" si="2"/>
        <v>#REF!</v>
      </c>
      <c r="F30" s="34" t="e">
        <f t="shared" si="2"/>
        <v>#REF!</v>
      </c>
      <c r="G30" s="34" t="e">
        <f t="shared" si="2"/>
        <v>#REF!</v>
      </c>
      <c r="H30" s="34" t="e">
        <f t="shared" si="2"/>
        <v>#REF!</v>
      </c>
      <c r="I30" s="34" t="e">
        <f t="shared" si="2"/>
        <v>#REF!</v>
      </c>
      <c r="J30" s="34" t="e">
        <f t="shared" si="2"/>
        <v>#REF!</v>
      </c>
      <c r="K30" s="34" t="e">
        <f t="shared" si="2"/>
        <v>#REF!</v>
      </c>
      <c r="L30" s="34" t="e">
        <f t="shared" si="2"/>
        <v>#REF!</v>
      </c>
      <c r="M30" s="34" t="e">
        <f t="shared" si="2"/>
        <v>#REF!</v>
      </c>
      <c r="N30" s="14" t="e">
        <f>SUM(B30:M30)</f>
        <v>#REF!</v>
      </c>
    </row>
    <row r="31" spans="1:15" s="17" customFormat="1" ht="21" hidden="1" customHeight="1" x14ac:dyDescent="0.35">
      <c r="A31" s="31" t="s">
        <v>280</v>
      </c>
      <c r="B31" s="35" t="e">
        <f t="shared" ref="B31:M31" si="3">+B15-B30</f>
        <v>#REF!</v>
      </c>
      <c r="C31" s="36" t="e">
        <f t="shared" si="3"/>
        <v>#REF!</v>
      </c>
      <c r="D31" s="36" t="e">
        <f t="shared" si="3"/>
        <v>#REF!</v>
      </c>
      <c r="E31" s="36" t="e">
        <f t="shared" si="3"/>
        <v>#REF!</v>
      </c>
      <c r="F31" s="36" t="e">
        <f t="shared" si="3"/>
        <v>#REF!</v>
      </c>
      <c r="G31" s="36" t="e">
        <f t="shared" si="3"/>
        <v>#REF!</v>
      </c>
      <c r="H31" s="36" t="e">
        <f t="shared" si="3"/>
        <v>#REF!</v>
      </c>
      <c r="I31" s="36" t="e">
        <f t="shared" si="3"/>
        <v>#REF!</v>
      </c>
      <c r="J31" s="36" t="e">
        <f t="shared" si="3"/>
        <v>#REF!</v>
      </c>
      <c r="K31" s="36" t="e">
        <f t="shared" si="3"/>
        <v>#REF!</v>
      </c>
      <c r="L31" s="36" t="e">
        <f t="shared" si="3"/>
        <v>#REF!</v>
      </c>
      <c r="M31" s="36" t="e">
        <f t="shared" si="3"/>
        <v>#REF!</v>
      </c>
    </row>
    <row r="32" spans="1:15" ht="21" customHeight="1" x14ac:dyDescent="0.35">
      <c r="A32" s="37" t="s">
        <v>160</v>
      </c>
      <c r="B32" s="38" t="e">
        <f t="shared" ref="B32:M32" si="4">+B11+B31</f>
        <v>#REF!</v>
      </c>
      <c r="C32" s="39" t="e">
        <f t="shared" si="4"/>
        <v>#REF!</v>
      </c>
      <c r="D32" s="39" t="e">
        <f t="shared" si="4"/>
        <v>#REF!</v>
      </c>
      <c r="E32" s="39" t="e">
        <f t="shared" si="4"/>
        <v>#REF!</v>
      </c>
      <c r="F32" s="39" t="e">
        <f t="shared" si="4"/>
        <v>#REF!</v>
      </c>
      <c r="G32" s="39" t="e">
        <f t="shared" si="4"/>
        <v>#REF!</v>
      </c>
      <c r="H32" s="39" t="e">
        <f t="shared" si="4"/>
        <v>#REF!</v>
      </c>
      <c r="I32" s="39" t="e">
        <f t="shared" si="4"/>
        <v>#REF!</v>
      </c>
      <c r="J32" s="39" t="e">
        <f t="shared" si="4"/>
        <v>#REF!</v>
      </c>
      <c r="K32" s="39" t="e">
        <f t="shared" si="4"/>
        <v>#REF!</v>
      </c>
      <c r="L32" s="39" t="e">
        <f t="shared" si="4"/>
        <v>#REF!</v>
      </c>
      <c r="M32" s="39" t="e">
        <f t="shared" si="4"/>
        <v>#REF!</v>
      </c>
    </row>
    <row r="33" spans="1:13" s="3" customFormat="1" ht="21" customHeight="1" x14ac:dyDescent="0.35">
      <c r="A33" s="40"/>
      <c r="E33" s="41">
        <v>2532827</v>
      </c>
      <c r="M33" s="41"/>
    </row>
    <row r="34" spans="1:13" s="3" customFormat="1" ht="30" customHeight="1" x14ac:dyDescent="0.35">
      <c r="A34" s="42" t="s">
        <v>325</v>
      </c>
      <c r="B34" s="43"/>
      <c r="C34" s="43"/>
      <c r="D34" s="43"/>
      <c r="E34" s="44" t="e">
        <f>+E33-E32</f>
        <v>#REF!</v>
      </c>
      <c r="F34" s="45" t="s">
        <v>320</v>
      </c>
      <c r="G34" s="45" t="s">
        <v>326</v>
      </c>
      <c r="H34" s="45" t="s">
        <v>327</v>
      </c>
      <c r="I34" s="43"/>
      <c r="J34" s="43"/>
      <c r="K34" s="43"/>
      <c r="L34" s="43"/>
      <c r="M34" s="43"/>
    </row>
    <row r="35" spans="1:13" ht="21" customHeight="1" x14ac:dyDescent="0.35"/>
    <row r="36" spans="1:13" s="46" customFormat="1" x14ac:dyDescent="0.35">
      <c r="A36" s="1"/>
      <c r="B36" s="2"/>
      <c r="C36" s="2"/>
      <c r="D36" s="2"/>
      <c r="E36" s="2"/>
      <c r="F36" s="2"/>
      <c r="G36" s="2"/>
      <c r="H36" s="3"/>
      <c r="I36" s="3"/>
      <c r="J36" s="3"/>
      <c r="K36" s="3"/>
      <c r="L36" s="3"/>
      <c r="M36" s="3"/>
    </row>
    <row r="37" spans="1:13" s="46" customFormat="1" x14ac:dyDescent="0.35">
      <c r="A37" s="1"/>
      <c r="B37" s="2"/>
      <c r="C37" s="2"/>
      <c r="D37" s="2"/>
      <c r="E37" s="2"/>
      <c r="F37" s="2"/>
      <c r="G37" s="2"/>
      <c r="H37" s="3"/>
      <c r="I37" s="3"/>
      <c r="J37" s="3"/>
      <c r="K37" s="3"/>
      <c r="L37" s="3"/>
      <c r="M37" s="3"/>
    </row>
  </sheetData>
  <mergeCells count="2">
    <mergeCell ref="A8:M8"/>
    <mergeCell ref="A9:M9"/>
  </mergeCells>
  <printOptions horizontalCentered="1"/>
  <pageMargins left="0.11811023622047245" right="0.59055118110236227" top="0.35433070866141736" bottom="0.43307086614173229" header="0.31496062992125984" footer="0.6692913385826772"/>
  <pageSetup paperSize="9" scale="80" orientation="landscape"/>
  <headerFooter>
    <oddFooter>&amp;LMEIL CashFlow Projection 2012</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Y78"/>
  <sheetViews>
    <sheetView showGridLines="0" workbookViewId="0">
      <pane xSplit="1" ySplit="3" topLeftCell="O4" activePane="bottomRight" state="frozen"/>
      <selection pane="topRight"/>
      <selection pane="bottomLeft"/>
      <selection pane="bottomRight" activeCell="U11" sqref="U11"/>
    </sheetView>
  </sheetViews>
  <sheetFormatPr defaultColWidth="10" defaultRowHeight="15.5" x14ac:dyDescent="0.35"/>
  <cols>
    <col min="1" max="1" width="39.1796875" style="339" customWidth="1"/>
    <col min="2" max="2" width="20.26953125" style="339" hidden="1" customWidth="1"/>
    <col min="3" max="4" width="15.1796875" style="339" hidden="1" customWidth="1"/>
    <col min="5" max="6" width="15.1796875" style="17" hidden="1" customWidth="1"/>
    <col min="7" max="9" width="15.1796875" hidden="1" customWidth="1"/>
    <col min="10" max="10" width="20.54296875" hidden="1" customWidth="1"/>
    <col min="11" max="12" width="15.453125" style="3" hidden="1" customWidth="1"/>
    <col min="13" max="15" width="16.1796875" style="3" hidden="1" customWidth="1"/>
    <col min="16" max="22" width="15.453125" style="3" customWidth="1"/>
    <col min="23" max="23" width="15.1796875" style="3" hidden="1" customWidth="1"/>
    <col min="24" max="24" width="13.1796875" hidden="1" customWidth="1"/>
    <col min="25" max="35" width="13.1796875" customWidth="1"/>
    <col min="36" max="36" width="25" customWidth="1"/>
    <col min="37" max="39" width="13.1796875" customWidth="1"/>
    <col min="40" max="40" width="1" customWidth="1"/>
    <col min="41" max="41" width="35.54296875" style="46" customWidth="1"/>
    <col min="42" max="44" width="15.54296875" style="46" customWidth="1"/>
    <col min="45" max="47" width="17.7265625" style="46" customWidth="1"/>
    <col min="48" max="49" width="9.1796875" customWidth="1"/>
  </cols>
  <sheetData>
    <row r="1" spans="1:50" ht="21" x14ac:dyDescent="0.5">
      <c r="A1" s="340" t="s">
        <v>132</v>
      </c>
      <c r="B1" s="341"/>
      <c r="C1" s="341"/>
      <c r="D1" s="341"/>
      <c r="E1" s="341"/>
      <c r="F1" s="341"/>
      <c r="G1" s="341"/>
      <c r="H1" s="341"/>
      <c r="I1" s="341"/>
      <c r="J1" s="342"/>
      <c r="K1" s="343"/>
      <c r="L1" s="344"/>
      <c r="M1" s="344"/>
      <c r="N1" s="344"/>
      <c r="O1" s="344"/>
      <c r="P1" s="344"/>
      <c r="Q1" s="344"/>
      <c r="R1" s="344"/>
      <c r="S1" s="344"/>
      <c r="T1" s="344"/>
      <c r="U1" s="344"/>
      <c r="V1" s="344"/>
      <c r="W1" s="344"/>
      <c r="AN1" s="345"/>
      <c r="AO1" s="602" t="s">
        <v>133</v>
      </c>
      <c r="AP1" s="603"/>
      <c r="AQ1" s="603"/>
      <c r="AR1" s="603"/>
      <c r="AS1" s="603"/>
      <c r="AT1" s="603"/>
      <c r="AU1" s="604"/>
      <c r="AX1" s="346"/>
    </row>
    <row r="2" spans="1:50" s="1" customFormat="1" ht="18.5" x14ac:dyDescent="0.45">
      <c r="A2" s="347"/>
      <c r="B2" s="348"/>
      <c r="C2" s="348"/>
      <c r="D2" s="348"/>
      <c r="E2" s="348"/>
      <c r="F2" s="348"/>
      <c r="G2" s="348"/>
      <c r="H2" s="348"/>
      <c r="I2" s="348"/>
      <c r="J2" s="349"/>
      <c r="K2" s="584" t="s">
        <v>350</v>
      </c>
      <c r="L2" s="585"/>
      <c r="M2" s="585"/>
      <c r="N2" s="585"/>
      <c r="O2" s="585"/>
      <c r="P2" s="585"/>
      <c r="Q2" s="585"/>
      <c r="R2" s="585"/>
      <c r="S2" s="585"/>
      <c r="T2" s="585"/>
      <c r="U2" s="585"/>
      <c r="V2" s="586"/>
      <c r="W2" s="350"/>
      <c r="X2" s="351"/>
      <c r="Y2" s="351"/>
      <c r="Z2" s="351"/>
      <c r="AA2" s="351"/>
      <c r="AB2" s="351"/>
      <c r="AC2" s="351"/>
      <c r="AD2" s="351"/>
      <c r="AE2" s="351"/>
      <c r="AF2" s="351"/>
      <c r="AG2" s="351"/>
      <c r="AH2" s="351"/>
      <c r="AI2" s="351"/>
      <c r="AJ2" s="351"/>
      <c r="AK2" s="351"/>
      <c r="AL2" s="351"/>
      <c r="AM2" s="351"/>
      <c r="AN2" s="352"/>
      <c r="AO2" s="605" t="s">
        <v>168</v>
      </c>
      <c r="AP2" s="606"/>
      <c r="AQ2" s="606"/>
      <c r="AR2" s="606"/>
      <c r="AS2" s="606"/>
      <c r="AT2" s="606"/>
      <c r="AU2" s="607"/>
      <c r="AX2" s="293"/>
    </row>
    <row r="3" spans="1:50" s="353" customFormat="1" ht="18.5" x14ac:dyDescent="0.45">
      <c r="A3" s="354"/>
      <c r="B3" s="354" t="s">
        <v>138</v>
      </c>
      <c r="C3" s="354" t="s">
        <v>117</v>
      </c>
      <c r="D3" s="354" t="s">
        <v>139</v>
      </c>
      <c r="E3" s="354" t="s">
        <v>140</v>
      </c>
      <c r="F3" s="354" t="s">
        <v>141</v>
      </c>
      <c r="G3" s="354" t="s">
        <v>142</v>
      </c>
      <c r="H3" s="354" t="s">
        <v>143</v>
      </c>
      <c r="I3" s="354" t="s">
        <v>144</v>
      </c>
      <c r="J3" s="354" t="s">
        <v>134</v>
      </c>
      <c r="K3" s="355" t="s">
        <v>135</v>
      </c>
      <c r="L3" s="355" t="s">
        <v>136</v>
      </c>
      <c r="M3" s="355" t="s">
        <v>137</v>
      </c>
      <c r="N3" s="355" t="s">
        <v>138</v>
      </c>
      <c r="O3" s="355" t="s">
        <v>117</v>
      </c>
      <c r="P3" s="355" t="s">
        <v>139</v>
      </c>
      <c r="Q3" s="355" t="s">
        <v>140</v>
      </c>
      <c r="R3" s="355" t="s">
        <v>141</v>
      </c>
      <c r="S3" s="355" t="s">
        <v>142</v>
      </c>
      <c r="T3" s="355" t="s">
        <v>143</v>
      </c>
      <c r="U3" s="355" t="s">
        <v>144</v>
      </c>
      <c r="V3" s="355" t="s">
        <v>134</v>
      </c>
      <c r="W3" s="355" t="s">
        <v>277</v>
      </c>
      <c r="X3" s="356"/>
      <c r="Y3" s="356"/>
      <c r="Z3" s="356"/>
      <c r="AA3" s="356"/>
      <c r="AB3" s="356"/>
      <c r="AC3" s="356"/>
      <c r="AD3" s="356"/>
      <c r="AE3" s="356"/>
      <c r="AF3" s="356"/>
      <c r="AG3" s="356"/>
      <c r="AH3" s="356"/>
      <c r="AI3" s="356"/>
      <c r="AJ3" s="356"/>
      <c r="AK3" s="356"/>
      <c r="AL3" s="356"/>
      <c r="AM3" s="356"/>
      <c r="AN3" s="357"/>
      <c r="AO3" s="358"/>
      <c r="AP3" s="359" t="s">
        <v>140</v>
      </c>
      <c r="AQ3" s="359" t="s">
        <v>141</v>
      </c>
      <c r="AR3" s="359" t="s">
        <v>142</v>
      </c>
      <c r="AS3" s="360" t="s">
        <v>143</v>
      </c>
      <c r="AT3" s="360" t="s">
        <v>144</v>
      </c>
      <c r="AU3" s="360" t="s">
        <v>134</v>
      </c>
      <c r="AX3" s="361"/>
    </row>
    <row r="4" spans="1:50" x14ac:dyDescent="0.35">
      <c r="A4" s="362" t="s">
        <v>193</v>
      </c>
      <c r="B4" s="363"/>
      <c r="C4" s="363"/>
      <c r="D4" s="363"/>
      <c r="E4" s="363"/>
      <c r="F4" s="363"/>
      <c r="G4" s="363"/>
      <c r="H4" s="363"/>
      <c r="I4" s="364"/>
      <c r="J4" s="364"/>
      <c r="K4" s="364"/>
      <c r="L4" s="364"/>
      <c r="M4" s="364"/>
      <c r="N4" s="364"/>
      <c r="O4" s="364"/>
      <c r="P4" s="364"/>
      <c r="Q4" s="364"/>
      <c r="R4" s="364"/>
      <c r="S4" s="364"/>
      <c r="T4" s="364"/>
      <c r="U4" s="364"/>
      <c r="V4" s="364"/>
      <c r="W4" s="365"/>
      <c r="X4" s="366"/>
      <c r="Y4" s="366"/>
      <c r="Z4" s="366"/>
      <c r="AA4" s="366"/>
      <c r="AB4" s="366"/>
      <c r="AC4" s="366"/>
      <c r="AD4" s="366"/>
      <c r="AE4" s="366"/>
      <c r="AF4" s="366"/>
      <c r="AG4" s="366"/>
      <c r="AH4" s="366"/>
      <c r="AI4" s="366"/>
      <c r="AJ4" s="366"/>
      <c r="AK4" s="366"/>
      <c r="AL4" s="366"/>
      <c r="AM4" s="366"/>
      <c r="AN4" s="345"/>
      <c r="AO4" s="367"/>
      <c r="AP4" s="368"/>
      <c r="AQ4" s="368"/>
      <c r="AR4" s="368"/>
      <c r="AS4" s="369"/>
      <c r="AT4" s="370"/>
      <c r="AU4" s="369"/>
      <c r="AX4" s="346"/>
    </row>
    <row r="5" spans="1:50" x14ac:dyDescent="0.35">
      <c r="A5" s="371" t="s">
        <v>146</v>
      </c>
      <c r="B5" s="363">
        <f>'[1]Debtors statistics'!G5</f>
        <v>19305776.859999999</v>
      </c>
      <c r="C5" s="363">
        <f t="shared" ref="C5:I5" si="0">B16</f>
        <v>29350789.859999999</v>
      </c>
      <c r="D5" s="363">
        <f t="shared" si="0"/>
        <v>35695062.990000002</v>
      </c>
      <c r="E5" s="363">
        <f t="shared" si="0"/>
        <v>45137165.160000004</v>
      </c>
      <c r="F5" s="363">
        <f t="shared" si="0"/>
        <v>51219165.530000001</v>
      </c>
      <c r="G5" s="363">
        <f t="shared" si="0"/>
        <v>62880130.530000001</v>
      </c>
      <c r="H5" s="372">
        <f t="shared" si="0"/>
        <v>74868735.530000001</v>
      </c>
      <c r="I5" s="372">
        <f t="shared" si="0"/>
        <v>83496840.670000002</v>
      </c>
      <c r="J5" s="372">
        <v>37688182.379999995</v>
      </c>
      <c r="K5" s="372">
        <v>33195281.719999999</v>
      </c>
      <c r="L5" s="372" t="e">
        <f t="shared" ref="L5:Q5" si="1">K16</f>
        <v>#REF!</v>
      </c>
      <c r="M5" s="372" t="e">
        <f t="shared" si="1"/>
        <v>#REF!</v>
      </c>
      <c r="N5" s="373" t="e">
        <f t="shared" si="1"/>
        <v>#REF!</v>
      </c>
      <c r="O5" s="372">
        <v>58385482</v>
      </c>
      <c r="P5" s="372">
        <v>70244802</v>
      </c>
      <c r="Q5" s="372" t="e">
        <f t="shared" si="1"/>
        <v>#REF!</v>
      </c>
      <c r="R5" s="372" t="e">
        <f>Q16</f>
        <v>#REF!</v>
      </c>
      <c r="S5" s="372" t="e">
        <f>R16</f>
        <v>#REF!</v>
      </c>
      <c r="T5" s="372" t="e">
        <f>S16</f>
        <v>#REF!</v>
      </c>
      <c r="U5" s="372" t="e">
        <f>T16</f>
        <v>#REF!</v>
      </c>
      <c r="V5" s="372" t="e">
        <f>U16</f>
        <v>#REF!</v>
      </c>
      <c r="W5" s="374"/>
      <c r="X5" s="366"/>
      <c r="Y5" s="366"/>
      <c r="Z5" s="366"/>
      <c r="AA5" s="366"/>
      <c r="AB5" s="366"/>
      <c r="AC5" s="366"/>
      <c r="AD5" s="366"/>
      <c r="AE5" s="366"/>
      <c r="AF5" s="366"/>
      <c r="AG5" s="366"/>
      <c r="AH5" s="366"/>
      <c r="AI5" s="366"/>
      <c r="AJ5" s="366"/>
      <c r="AK5" s="366"/>
      <c r="AL5" s="366"/>
      <c r="AM5" s="366"/>
      <c r="AN5" s="345"/>
      <c r="AO5" s="375" t="s">
        <v>146</v>
      </c>
      <c r="AP5" s="368">
        <f>'[1]Debtors statistics'!G29</f>
        <v>7777953</v>
      </c>
      <c r="AQ5" s="368">
        <f>AP16</f>
        <v>8629435</v>
      </c>
      <c r="AR5" s="368">
        <f>AQ16</f>
        <v>9923804.4499999993</v>
      </c>
      <c r="AS5" s="376">
        <f>AR16</f>
        <v>14826435.43</v>
      </c>
      <c r="AT5" s="368">
        <f>AS16</f>
        <v>16718375.35</v>
      </c>
      <c r="AU5" s="376">
        <f>AT16</f>
        <v>20835760.035</v>
      </c>
      <c r="AX5" s="346"/>
    </row>
    <row r="6" spans="1:50" s="17" customFormat="1" x14ac:dyDescent="0.35">
      <c r="A6" s="377" t="s">
        <v>173</v>
      </c>
      <c r="B6" s="378">
        <f>'[1]Debtors statistics'!H6</f>
        <v>10045013</v>
      </c>
      <c r="C6" s="378">
        <f>'[1]Debtors statistics'!H7</f>
        <v>6344273.1299999999</v>
      </c>
      <c r="D6" s="378">
        <f>'[1]Debtors statistics'!H8</f>
        <v>9442102.1699999999</v>
      </c>
      <c r="E6" s="378">
        <f>'[1]Debtors statistics'!H9</f>
        <v>6082000.3700000001</v>
      </c>
      <c r="F6" s="378">
        <v>11660965</v>
      </c>
      <c r="G6" s="378">
        <v>11988605</v>
      </c>
      <c r="H6" s="378">
        <f>'[1]Debtors statistics'!H12</f>
        <v>8628105.1400000006</v>
      </c>
      <c r="I6" s="379">
        <f>'[1]Oct 2010 MEIL Income Statement'!F16</f>
        <v>14854000.140000001</v>
      </c>
      <c r="J6" s="379">
        <v>6765750.25</v>
      </c>
      <c r="K6" s="380" t="e">
        <f>+#REF!</f>
        <v>#REF!</v>
      </c>
      <c r="L6" s="380" t="e">
        <f>+#REF!</f>
        <v>#REF!</v>
      </c>
      <c r="M6" s="380" t="e">
        <f>+#REF!</f>
        <v>#REF!</v>
      </c>
      <c r="N6" s="380" t="e">
        <f>+#REF!</f>
        <v>#REF!</v>
      </c>
      <c r="O6" s="380" t="e">
        <f>+#REF!</f>
        <v>#REF!</v>
      </c>
      <c r="P6" s="380" t="e">
        <f>+#REF!</f>
        <v>#REF!</v>
      </c>
      <c r="Q6" s="380" t="e">
        <f>+#REF!</f>
        <v>#REF!</v>
      </c>
      <c r="R6" s="380" t="e">
        <f>+#REF!</f>
        <v>#REF!</v>
      </c>
      <c r="S6" s="380" t="e">
        <f>+#REF!</f>
        <v>#REF!</v>
      </c>
      <c r="T6" s="380" t="e">
        <f>+#REF!</f>
        <v>#REF!</v>
      </c>
      <c r="U6" s="380" t="e">
        <f>+#REF!</f>
        <v>#REF!</v>
      </c>
      <c r="V6" s="380" t="e">
        <f>+#REF!</f>
        <v>#REF!</v>
      </c>
      <c r="W6" s="380" t="e">
        <f>SUM(K6:V6)</f>
        <v>#REF!</v>
      </c>
      <c r="X6" s="381"/>
      <c r="Y6" s="381"/>
      <c r="Z6" s="381"/>
      <c r="AA6" s="381"/>
      <c r="AB6" s="381"/>
      <c r="AC6" s="381"/>
      <c r="AD6" s="381"/>
      <c r="AE6" s="381"/>
      <c r="AF6" s="381"/>
      <c r="AG6" s="381"/>
      <c r="AH6" s="381"/>
      <c r="AI6" s="381"/>
      <c r="AJ6" s="381"/>
      <c r="AK6" s="381"/>
      <c r="AL6" s="381"/>
      <c r="AM6" s="381"/>
      <c r="AN6" s="382"/>
      <c r="AO6" s="375" t="s">
        <v>147</v>
      </c>
      <c r="AP6" s="383">
        <f>'[1]Oct 2010 OCK Income Statement'!M14</f>
        <v>851482</v>
      </c>
      <c r="AQ6" s="383">
        <v>1294369.45</v>
      </c>
      <c r="AR6" s="383">
        <v>4902630.9800000004</v>
      </c>
      <c r="AS6" s="384">
        <v>1891939.92</v>
      </c>
      <c r="AT6" s="383">
        <f>'[1]Oct 2010 OCK Income Statement'!E14</f>
        <v>4117384.6850000001</v>
      </c>
      <c r="AU6" s="384">
        <f>'[1]Oct 2010 OCK Income Statement'!F14</f>
        <v>4117385</v>
      </c>
      <c r="AX6" s="385"/>
    </row>
    <row r="7" spans="1:50" s="17" customFormat="1" x14ac:dyDescent="0.35">
      <c r="A7" s="386" t="s">
        <v>148</v>
      </c>
      <c r="B7" s="387">
        <f t="shared" ref="B7:V7" si="2">SUM(B5:B6)</f>
        <v>29350789.859999999</v>
      </c>
      <c r="C7" s="387">
        <f t="shared" si="2"/>
        <v>35695062.990000002</v>
      </c>
      <c r="D7" s="387">
        <f t="shared" si="2"/>
        <v>45137165.160000004</v>
      </c>
      <c r="E7" s="387">
        <f t="shared" si="2"/>
        <v>51219165.530000001</v>
      </c>
      <c r="F7" s="387">
        <f t="shared" si="2"/>
        <v>62880130.530000001</v>
      </c>
      <c r="G7" s="387">
        <f t="shared" si="2"/>
        <v>74868735.530000001</v>
      </c>
      <c r="H7" s="387">
        <f t="shared" si="2"/>
        <v>83496840.670000002</v>
      </c>
      <c r="I7" s="388">
        <f t="shared" si="2"/>
        <v>98350840.810000002</v>
      </c>
      <c r="J7" s="388">
        <f t="shared" si="2"/>
        <v>44453932.629999995</v>
      </c>
      <c r="K7" s="388" t="e">
        <f t="shared" si="2"/>
        <v>#REF!</v>
      </c>
      <c r="L7" s="388" t="e">
        <f t="shared" si="2"/>
        <v>#REF!</v>
      </c>
      <c r="M7" s="388" t="e">
        <f t="shared" si="2"/>
        <v>#REF!</v>
      </c>
      <c r="N7" s="388" t="e">
        <f t="shared" si="2"/>
        <v>#REF!</v>
      </c>
      <c r="O7" s="388" t="e">
        <f t="shared" si="2"/>
        <v>#REF!</v>
      </c>
      <c r="P7" s="388" t="e">
        <f t="shared" si="2"/>
        <v>#REF!</v>
      </c>
      <c r="Q7" s="388" t="e">
        <f t="shared" si="2"/>
        <v>#REF!</v>
      </c>
      <c r="R7" s="388" t="e">
        <f t="shared" si="2"/>
        <v>#REF!</v>
      </c>
      <c r="S7" s="388" t="e">
        <f t="shared" si="2"/>
        <v>#REF!</v>
      </c>
      <c r="T7" s="388" t="e">
        <f t="shared" si="2"/>
        <v>#REF!</v>
      </c>
      <c r="U7" s="388" t="e">
        <f t="shared" si="2"/>
        <v>#REF!</v>
      </c>
      <c r="V7" s="388" t="e">
        <f t="shared" si="2"/>
        <v>#REF!</v>
      </c>
      <c r="W7" s="380" t="e">
        <f>SUM(K7:V7)</f>
        <v>#REF!</v>
      </c>
      <c r="X7" s="381"/>
      <c r="Y7" s="381"/>
      <c r="Z7" s="381"/>
      <c r="AA7" s="381"/>
      <c r="AB7" s="381"/>
      <c r="AC7" s="381"/>
      <c r="AD7" s="381"/>
      <c r="AE7" s="381"/>
      <c r="AF7" s="381"/>
      <c r="AG7" s="381"/>
      <c r="AH7" s="381"/>
      <c r="AI7" s="381"/>
      <c r="AJ7" s="381"/>
      <c r="AK7" s="381"/>
      <c r="AL7" s="381"/>
      <c r="AM7" s="381"/>
      <c r="AN7" s="382"/>
      <c r="AO7" s="375" t="s">
        <v>148</v>
      </c>
      <c r="AP7" s="383">
        <f t="shared" ref="AP7:AU7" si="3">SUM(AP5:AP6)</f>
        <v>8629435</v>
      </c>
      <c r="AQ7" s="383">
        <f t="shared" si="3"/>
        <v>9923804.4499999993</v>
      </c>
      <c r="AR7" s="383">
        <f t="shared" si="3"/>
        <v>14826435.43</v>
      </c>
      <c r="AS7" s="384">
        <f t="shared" si="3"/>
        <v>16718375.35</v>
      </c>
      <c r="AT7" s="383">
        <f t="shared" si="3"/>
        <v>20835760.035</v>
      </c>
      <c r="AU7" s="384">
        <f t="shared" si="3"/>
        <v>24953145.035</v>
      </c>
      <c r="AX7" s="385"/>
    </row>
    <row r="8" spans="1:50" x14ac:dyDescent="0.35">
      <c r="A8" s="377" t="s">
        <v>149</v>
      </c>
      <c r="B8" s="389"/>
      <c r="C8" s="389"/>
      <c r="D8" s="389"/>
      <c r="E8" s="389"/>
      <c r="F8" s="389"/>
      <c r="G8" s="389"/>
      <c r="H8" s="389"/>
      <c r="I8" s="390"/>
      <c r="J8" s="390"/>
      <c r="K8" s="391"/>
      <c r="L8" s="391"/>
      <c r="M8" s="391"/>
      <c r="N8" s="391"/>
      <c r="O8" s="391"/>
      <c r="P8" s="391"/>
      <c r="Q8" s="391"/>
      <c r="R8" s="391"/>
      <c r="S8" s="391"/>
      <c r="T8" s="391"/>
      <c r="U8" s="391"/>
      <c r="V8" s="391"/>
      <c r="W8" s="391"/>
      <c r="X8" s="392"/>
      <c r="Y8" s="392"/>
      <c r="Z8" s="392"/>
      <c r="AA8" s="392"/>
      <c r="AB8" s="392"/>
      <c r="AC8" s="392"/>
      <c r="AD8" s="392"/>
      <c r="AE8" s="392"/>
      <c r="AF8" s="392"/>
      <c r="AG8" s="392"/>
      <c r="AH8" s="392"/>
      <c r="AI8" s="392"/>
      <c r="AJ8" s="392"/>
      <c r="AK8" s="392"/>
      <c r="AL8" s="392"/>
      <c r="AM8" s="392"/>
      <c r="AN8" s="345"/>
      <c r="AO8" s="375" t="s">
        <v>149</v>
      </c>
      <c r="AP8" s="393"/>
      <c r="AQ8" s="393"/>
      <c r="AR8" s="393"/>
      <c r="AS8" s="394"/>
      <c r="AT8" s="393"/>
      <c r="AU8" s="394"/>
      <c r="AX8" s="346"/>
    </row>
    <row r="9" spans="1:50" x14ac:dyDescent="0.35">
      <c r="A9" s="377" t="s">
        <v>321</v>
      </c>
      <c r="B9" s="389"/>
      <c r="C9" s="389"/>
      <c r="D9" s="389"/>
      <c r="E9" s="389"/>
      <c r="F9" s="389"/>
      <c r="G9" s="389"/>
      <c r="H9" s="389"/>
      <c r="I9" s="389"/>
      <c r="J9" s="390"/>
      <c r="K9" s="391"/>
      <c r="L9" s="391"/>
      <c r="M9" s="391" t="e">
        <f>0.35*M5</f>
        <v>#REF!</v>
      </c>
      <c r="N9" s="391" t="e">
        <f>0.3*M5</f>
        <v>#REF!</v>
      </c>
      <c r="O9" s="391">
        <f>0.35*O5</f>
        <v>20434918.699999999</v>
      </c>
      <c r="P9" s="391">
        <f>0.3*O5</f>
        <v>17515644.599999998</v>
      </c>
      <c r="Q9" s="391">
        <f>0.25*O5</f>
        <v>14596370.5</v>
      </c>
      <c r="R9" s="391">
        <f>0.1*O5</f>
        <v>5838548.2000000002</v>
      </c>
      <c r="S9" s="391"/>
      <c r="T9" s="391"/>
      <c r="U9" s="391"/>
      <c r="V9" s="391"/>
      <c r="W9" s="391"/>
      <c r="X9" s="392"/>
      <c r="Y9" s="392"/>
      <c r="Z9" s="392"/>
      <c r="AA9" s="392"/>
      <c r="AB9" s="392"/>
      <c r="AC9" s="392"/>
      <c r="AD9" s="392"/>
      <c r="AE9" s="392"/>
      <c r="AF9" s="392"/>
      <c r="AG9" s="392"/>
      <c r="AH9" s="392"/>
      <c r="AI9" s="392"/>
      <c r="AJ9" s="392"/>
      <c r="AK9" s="392"/>
      <c r="AL9" s="392"/>
      <c r="AM9" s="392"/>
      <c r="AN9" s="345"/>
      <c r="AO9" s="375"/>
      <c r="AP9" s="393"/>
      <c r="AQ9" s="393"/>
      <c r="AR9" s="393"/>
      <c r="AS9" s="394"/>
      <c r="AT9" s="393"/>
      <c r="AU9" s="394"/>
      <c r="AX9" s="346"/>
    </row>
    <row r="10" spans="1:50" x14ac:dyDescent="0.35">
      <c r="A10" s="377" t="s">
        <v>314</v>
      </c>
      <c r="B10" s="389"/>
      <c r="C10" s="389"/>
      <c r="D10" s="389"/>
      <c r="E10" s="389"/>
      <c r="F10" s="389"/>
      <c r="G10" s="389"/>
      <c r="H10" s="389"/>
      <c r="I10" s="389"/>
      <c r="J10" s="390"/>
      <c r="K10" s="391" t="e">
        <f>0.05*K6</f>
        <v>#REF!</v>
      </c>
      <c r="L10" s="391" t="e">
        <f t="shared" ref="L10:V10" si="4">0.05*L6</f>
        <v>#REF!</v>
      </c>
      <c r="M10" s="391" t="e">
        <f t="shared" si="4"/>
        <v>#REF!</v>
      </c>
      <c r="N10" s="391" t="e">
        <f t="shared" si="4"/>
        <v>#REF!</v>
      </c>
      <c r="O10" s="391" t="e">
        <f t="shared" si="4"/>
        <v>#REF!</v>
      </c>
      <c r="P10" s="391" t="e">
        <f t="shared" si="4"/>
        <v>#REF!</v>
      </c>
      <c r="Q10" s="391" t="e">
        <f t="shared" si="4"/>
        <v>#REF!</v>
      </c>
      <c r="R10" s="391" t="e">
        <f t="shared" si="4"/>
        <v>#REF!</v>
      </c>
      <c r="S10" s="391" t="e">
        <f t="shared" si="4"/>
        <v>#REF!</v>
      </c>
      <c r="T10" s="391" t="e">
        <f t="shared" si="4"/>
        <v>#REF!</v>
      </c>
      <c r="U10" s="391" t="e">
        <f t="shared" si="4"/>
        <v>#REF!</v>
      </c>
      <c r="V10" s="391" t="e">
        <f t="shared" si="4"/>
        <v>#REF!</v>
      </c>
      <c r="W10" s="391"/>
      <c r="X10" s="392"/>
      <c r="Y10" s="392"/>
      <c r="Z10" s="392"/>
      <c r="AA10" s="392"/>
      <c r="AB10" s="392"/>
      <c r="AC10" s="392"/>
      <c r="AD10" s="392"/>
      <c r="AE10" s="392"/>
      <c r="AF10" s="392"/>
      <c r="AG10" s="392"/>
      <c r="AH10" s="392"/>
      <c r="AI10" s="392"/>
      <c r="AJ10" s="392"/>
      <c r="AK10" s="392"/>
      <c r="AL10" s="392"/>
      <c r="AM10" s="392"/>
      <c r="AN10" s="345"/>
      <c r="AO10" s="375"/>
      <c r="AP10" s="393"/>
      <c r="AQ10" s="393"/>
      <c r="AR10" s="393"/>
      <c r="AS10" s="394"/>
      <c r="AT10" s="393"/>
      <c r="AU10" s="394"/>
      <c r="AX10" s="346"/>
    </row>
    <row r="11" spans="1:50" x14ac:dyDescent="0.35">
      <c r="A11" s="377" t="s">
        <v>311</v>
      </c>
      <c r="B11" s="389"/>
      <c r="C11" s="389"/>
      <c r="D11" s="389"/>
      <c r="E11" s="389"/>
      <c r="F11" s="389"/>
      <c r="G11" s="389"/>
      <c r="H11" s="389"/>
      <c r="I11" s="389"/>
      <c r="J11" s="390"/>
      <c r="K11" s="391">
        <f>0.6*J6</f>
        <v>4059450.15</v>
      </c>
      <c r="L11" s="391" t="e">
        <f>0.6*K6</f>
        <v>#REF!</v>
      </c>
      <c r="M11" s="391" t="e">
        <f t="shared" ref="M11:S11" si="5">0.6*L6</f>
        <v>#REF!</v>
      </c>
      <c r="N11" s="391" t="e">
        <f t="shared" si="5"/>
        <v>#REF!</v>
      </c>
      <c r="O11" s="391" t="e">
        <f t="shared" si="5"/>
        <v>#REF!</v>
      </c>
      <c r="P11" s="391" t="e">
        <f t="shared" si="5"/>
        <v>#REF!</v>
      </c>
      <c r="Q11" s="391" t="e">
        <f t="shared" si="5"/>
        <v>#REF!</v>
      </c>
      <c r="R11" s="391" t="e">
        <f t="shared" si="5"/>
        <v>#REF!</v>
      </c>
      <c r="S11" s="391" t="e">
        <f t="shared" si="5"/>
        <v>#REF!</v>
      </c>
      <c r="T11" s="391" t="e">
        <f>0.6*S6+2000000</f>
        <v>#REF!</v>
      </c>
      <c r="U11" s="391" t="e">
        <f>0.6*T6+2000000</f>
        <v>#REF!</v>
      </c>
      <c r="V11" s="391" t="e">
        <f>0.6*U6+2000000</f>
        <v>#REF!</v>
      </c>
      <c r="W11" s="391"/>
      <c r="X11" s="392"/>
      <c r="Y11" s="392"/>
      <c r="Z11" s="392"/>
      <c r="AA11" s="392"/>
      <c r="AB11" s="392"/>
      <c r="AC11" s="392"/>
      <c r="AD11" s="392"/>
      <c r="AE11" s="392"/>
      <c r="AF11" s="392"/>
      <c r="AG11" s="392"/>
      <c r="AH11" s="392"/>
      <c r="AI11" s="392"/>
      <c r="AJ11" s="392"/>
      <c r="AK11" s="392"/>
      <c r="AL11" s="392"/>
      <c r="AM11" s="392"/>
      <c r="AN11" s="345"/>
      <c r="AO11" s="375"/>
      <c r="AP11" s="393"/>
      <c r="AQ11" s="393"/>
      <c r="AR11" s="393"/>
      <c r="AS11" s="394"/>
      <c r="AT11" s="393"/>
      <c r="AU11" s="394"/>
      <c r="AX11" s="346"/>
    </row>
    <row r="12" spans="1:50" x14ac:dyDescent="0.35">
      <c r="A12" s="377" t="s">
        <v>312</v>
      </c>
      <c r="B12" s="389"/>
      <c r="C12" s="389"/>
      <c r="D12" s="389"/>
      <c r="E12" s="389"/>
      <c r="F12" s="389"/>
      <c r="G12" s="389"/>
      <c r="H12" s="389"/>
      <c r="I12" s="389"/>
      <c r="J12" s="390"/>
      <c r="K12" s="391">
        <f t="shared" ref="K12:V12" si="6">0.3*I6</f>
        <v>4456200.0420000004</v>
      </c>
      <c r="L12" s="391">
        <f t="shared" si="6"/>
        <v>2029725.075</v>
      </c>
      <c r="M12" s="391" t="e">
        <f t="shared" si="6"/>
        <v>#REF!</v>
      </c>
      <c r="N12" s="391" t="e">
        <f t="shared" si="6"/>
        <v>#REF!</v>
      </c>
      <c r="O12" s="391" t="e">
        <f t="shared" si="6"/>
        <v>#REF!</v>
      </c>
      <c r="P12" s="391" t="e">
        <f t="shared" si="6"/>
        <v>#REF!</v>
      </c>
      <c r="Q12" s="391" t="e">
        <f t="shared" si="6"/>
        <v>#REF!</v>
      </c>
      <c r="R12" s="391" t="e">
        <f t="shared" si="6"/>
        <v>#REF!</v>
      </c>
      <c r="S12" s="391" t="e">
        <f t="shared" si="6"/>
        <v>#REF!</v>
      </c>
      <c r="T12" s="391" t="e">
        <f t="shared" si="6"/>
        <v>#REF!</v>
      </c>
      <c r="U12" s="391" t="e">
        <f t="shared" si="6"/>
        <v>#REF!</v>
      </c>
      <c r="V12" s="391" t="e">
        <f t="shared" si="6"/>
        <v>#REF!</v>
      </c>
      <c r="W12" s="391"/>
      <c r="X12" s="392"/>
      <c r="Y12" s="392"/>
      <c r="Z12" s="392"/>
      <c r="AA12" s="392"/>
      <c r="AB12" s="392"/>
      <c r="AC12" s="392"/>
      <c r="AD12" s="392"/>
      <c r="AE12" s="392"/>
      <c r="AF12" s="392"/>
      <c r="AG12" s="392"/>
      <c r="AH12" s="392"/>
      <c r="AI12" s="392"/>
      <c r="AJ12" s="392"/>
      <c r="AK12" s="392"/>
      <c r="AL12" s="392"/>
      <c r="AM12" s="392"/>
      <c r="AN12" s="345"/>
      <c r="AO12" s="375"/>
      <c r="AP12" s="393"/>
      <c r="AQ12" s="393"/>
      <c r="AR12" s="393"/>
      <c r="AS12" s="394"/>
      <c r="AT12" s="393"/>
      <c r="AU12" s="394"/>
      <c r="AX12" s="346"/>
    </row>
    <row r="13" spans="1:50" x14ac:dyDescent="0.35">
      <c r="A13" s="377" t="s">
        <v>313</v>
      </c>
      <c r="B13" s="389"/>
      <c r="C13" s="389"/>
      <c r="D13" s="389"/>
      <c r="E13" s="389"/>
      <c r="F13" s="389"/>
      <c r="G13" s="389"/>
      <c r="H13" s="389"/>
      <c r="I13" s="389"/>
      <c r="J13" s="390"/>
      <c r="K13" s="391">
        <f>0.05*H6</f>
        <v>431405.25700000004</v>
      </c>
      <c r="L13" s="391">
        <f>0.05*I6</f>
        <v>742700.0070000001</v>
      </c>
      <c r="M13" s="391">
        <f>0.05*J6</f>
        <v>338287.51250000001</v>
      </c>
      <c r="N13" s="391" t="e">
        <f>0.05*K6</f>
        <v>#REF!</v>
      </c>
      <c r="O13" s="391" t="e">
        <f t="shared" ref="O13:V13" si="7">0.05*L6</f>
        <v>#REF!</v>
      </c>
      <c r="P13" s="391" t="e">
        <f t="shared" si="7"/>
        <v>#REF!</v>
      </c>
      <c r="Q13" s="391" t="e">
        <f t="shared" si="7"/>
        <v>#REF!</v>
      </c>
      <c r="R13" s="391" t="e">
        <f>0.05*O6</f>
        <v>#REF!</v>
      </c>
      <c r="S13" s="391" t="e">
        <f t="shared" si="7"/>
        <v>#REF!</v>
      </c>
      <c r="T13" s="391" t="e">
        <f t="shared" si="7"/>
        <v>#REF!</v>
      </c>
      <c r="U13" s="391" t="e">
        <f t="shared" si="7"/>
        <v>#REF!</v>
      </c>
      <c r="V13" s="391" t="e">
        <f t="shared" si="7"/>
        <v>#REF!</v>
      </c>
      <c r="W13" s="391"/>
      <c r="X13" s="392"/>
      <c r="Y13" s="392"/>
      <c r="Z13" s="392"/>
      <c r="AA13" s="392"/>
      <c r="AB13" s="392"/>
      <c r="AC13" s="392"/>
      <c r="AD13" s="392"/>
      <c r="AE13" s="392"/>
      <c r="AF13" s="392"/>
      <c r="AG13" s="392"/>
      <c r="AH13" s="392"/>
      <c r="AI13" s="392"/>
      <c r="AJ13" s="392"/>
      <c r="AK13" s="392"/>
      <c r="AL13" s="392"/>
      <c r="AM13" s="392"/>
      <c r="AN13" s="345"/>
      <c r="AO13" s="375"/>
      <c r="AP13" s="393"/>
      <c r="AQ13" s="393"/>
      <c r="AR13" s="393"/>
      <c r="AS13" s="394"/>
      <c r="AT13" s="393"/>
      <c r="AU13" s="394"/>
      <c r="AX13" s="346"/>
    </row>
    <row r="14" spans="1:50" x14ac:dyDescent="0.35">
      <c r="A14" s="386" t="s">
        <v>315</v>
      </c>
      <c r="B14" s="395"/>
      <c r="C14" s="395"/>
      <c r="D14" s="395"/>
      <c r="E14" s="395"/>
      <c r="F14" s="395"/>
      <c r="G14" s="395"/>
      <c r="H14" s="395"/>
      <c r="I14" s="395"/>
      <c r="J14" s="396"/>
      <c r="K14" s="397" t="e">
        <f>SUM(K10:K13)</f>
        <v>#REF!</v>
      </c>
      <c r="L14" s="397" t="e">
        <f>SUM(L10:L13)</f>
        <v>#REF!</v>
      </c>
      <c r="M14" s="397" t="e">
        <f>SUM(M9:M13)</f>
        <v>#REF!</v>
      </c>
      <c r="N14" s="397" t="e">
        <f t="shared" ref="N14:V14" si="8">SUM(N9:N13)</f>
        <v>#REF!</v>
      </c>
      <c r="O14" s="397" t="e">
        <f t="shared" si="8"/>
        <v>#REF!</v>
      </c>
      <c r="P14" s="397" t="e">
        <f t="shared" si="8"/>
        <v>#REF!</v>
      </c>
      <c r="Q14" s="397" t="e">
        <f t="shared" si="8"/>
        <v>#REF!</v>
      </c>
      <c r="R14" s="397" t="e">
        <f t="shared" si="8"/>
        <v>#REF!</v>
      </c>
      <c r="S14" s="397" t="e">
        <f t="shared" si="8"/>
        <v>#REF!</v>
      </c>
      <c r="T14" s="397" t="e">
        <f t="shared" si="8"/>
        <v>#REF!</v>
      </c>
      <c r="U14" s="397" t="e">
        <f t="shared" si="8"/>
        <v>#REF!</v>
      </c>
      <c r="V14" s="397" t="e">
        <f t="shared" si="8"/>
        <v>#REF!</v>
      </c>
      <c r="W14" s="391" t="e">
        <f>SUM(K14:V14)</f>
        <v>#REF!</v>
      </c>
      <c r="X14" s="398" t="e">
        <f>+W14/W7</f>
        <v>#REF!</v>
      </c>
      <c r="Y14" s="392"/>
      <c r="Z14" s="392"/>
      <c r="AA14" s="392"/>
      <c r="AB14" s="392"/>
      <c r="AC14" s="392"/>
      <c r="AD14" s="392"/>
      <c r="AE14" s="392"/>
      <c r="AF14" s="392"/>
      <c r="AG14" s="392"/>
      <c r="AH14" s="392"/>
      <c r="AI14" s="392"/>
      <c r="AJ14" s="392"/>
      <c r="AK14" s="392"/>
      <c r="AL14" s="392"/>
      <c r="AM14" s="392"/>
      <c r="AN14" s="345"/>
      <c r="AO14" s="399"/>
      <c r="AP14" s="393"/>
      <c r="AQ14" s="393"/>
      <c r="AR14" s="393"/>
      <c r="AS14" s="390"/>
      <c r="AT14" s="400"/>
      <c r="AU14" s="390"/>
      <c r="AX14" s="346"/>
    </row>
    <row r="15" spans="1:50" s="17" customFormat="1" x14ac:dyDescent="0.35">
      <c r="A15" s="386" t="s">
        <v>150</v>
      </c>
      <c r="B15" s="387">
        <f t="shared" ref="B15:V15" si="9">SUM(B14:B14)</f>
        <v>0</v>
      </c>
      <c r="C15" s="387">
        <f t="shared" si="9"/>
        <v>0</v>
      </c>
      <c r="D15" s="387">
        <f t="shared" si="9"/>
        <v>0</v>
      </c>
      <c r="E15" s="387">
        <f t="shared" si="9"/>
        <v>0</v>
      </c>
      <c r="F15" s="387">
        <f t="shared" si="9"/>
        <v>0</v>
      </c>
      <c r="G15" s="387">
        <f t="shared" si="9"/>
        <v>0</v>
      </c>
      <c r="H15" s="387">
        <f t="shared" si="9"/>
        <v>0</v>
      </c>
      <c r="I15" s="401">
        <f t="shared" si="9"/>
        <v>0</v>
      </c>
      <c r="J15" s="402">
        <f t="shared" si="9"/>
        <v>0</v>
      </c>
      <c r="K15" s="388" t="e">
        <f t="shared" si="9"/>
        <v>#REF!</v>
      </c>
      <c r="L15" s="402" t="e">
        <f t="shared" si="9"/>
        <v>#REF!</v>
      </c>
      <c r="M15" s="402" t="e">
        <f t="shared" si="9"/>
        <v>#REF!</v>
      </c>
      <c r="N15" s="402" t="e">
        <f t="shared" si="9"/>
        <v>#REF!</v>
      </c>
      <c r="O15" s="402" t="e">
        <f t="shared" si="9"/>
        <v>#REF!</v>
      </c>
      <c r="P15" s="402" t="e">
        <f t="shared" si="9"/>
        <v>#REF!</v>
      </c>
      <c r="Q15" s="403" t="e">
        <f t="shared" si="9"/>
        <v>#REF!</v>
      </c>
      <c r="R15" s="403" t="e">
        <f t="shared" si="9"/>
        <v>#REF!</v>
      </c>
      <c r="S15" s="403" t="e">
        <f t="shared" si="9"/>
        <v>#REF!</v>
      </c>
      <c r="T15" s="403" t="e">
        <f t="shared" si="9"/>
        <v>#REF!</v>
      </c>
      <c r="U15" s="403" t="e">
        <f t="shared" si="9"/>
        <v>#REF!</v>
      </c>
      <c r="V15" s="403" t="e">
        <f t="shared" si="9"/>
        <v>#REF!</v>
      </c>
      <c r="W15" s="403"/>
      <c r="X15" s="381"/>
      <c r="Y15" s="381"/>
      <c r="Z15" s="381"/>
      <c r="AA15" s="381"/>
      <c r="AB15" s="381"/>
      <c r="AC15" s="381"/>
      <c r="AD15" s="381"/>
      <c r="AE15" s="381"/>
      <c r="AF15" s="381"/>
      <c r="AG15" s="381"/>
      <c r="AH15" s="381"/>
      <c r="AI15" s="381"/>
      <c r="AJ15" s="381"/>
      <c r="AK15" s="381"/>
      <c r="AL15" s="381"/>
      <c r="AM15" s="381"/>
      <c r="AN15" s="382"/>
      <c r="AO15" s="404" t="s">
        <v>150</v>
      </c>
      <c r="AP15" s="405">
        <f t="shared" ref="AP15:AU15" si="10">SUM(AP14:AP14)</f>
        <v>0</v>
      </c>
      <c r="AQ15" s="405">
        <f t="shared" si="10"/>
        <v>0</v>
      </c>
      <c r="AR15" s="405">
        <f t="shared" si="10"/>
        <v>0</v>
      </c>
      <c r="AS15" s="406">
        <f t="shared" si="10"/>
        <v>0</v>
      </c>
      <c r="AT15" s="407">
        <f t="shared" si="10"/>
        <v>0</v>
      </c>
      <c r="AU15" s="408">
        <f t="shared" si="10"/>
        <v>0</v>
      </c>
      <c r="AX15" s="385"/>
    </row>
    <row r="16" spans="1:50" s="17" customFormat="1" x14ac:dyDescent="0.35">
      <c r="A16" s="409" t="s">
        <v>151</v>
      </c>
      <c r="B16" s="410">
        <f t="shared" ref="B16:V16" si="11">B7-B15</f>
        <v>29350789.859999999</v>
      </c>
      <c r="C16" s="410">
        <f t="shared" si="11"/>
        <v>35695062.990000002</v>
      </c>
      <c r="D16" s="410">
        <f t="shared" si="11"/>
        <v>45137165.160000004</v>
      </c>
      <c r="E16" s="410">
        <f t="shared" si="11"/>
        <v>51219165.530000001</v>
      </c>
      <c r="F16" s="410">
        <f t="shared" si="11"/>
        <v>62880130.530000001</v>
      </c>
      <c r="G16" s="410">
        <f t="shared" si="11"/>
        <v>74868735.530000001</v>
      </c>
      <c r="H16" s="410">
        <f t="shared" si="11"/>
        <v>83496840.670000002</v>
      </c>
      <c r="I16" s="410">
        <f t="shared" si="11"/>
        <v>98350840.810000002</v>
      </c>
      <c r="J16" s="411">
        <f t="shared" si="11"/>
        <v>44453932.629999995</v>
      </c>
      <c r="K16" s="411" t="e">
        <f t="shared" si="11"/>
        <v>#REF!</v>
      </c>
      <c r="L16" s="411" t="e">
        <f t="shared" si="11"/>
        <v>#REF!</v>
      </c>
      <c r="M16" s="411" t="e">
        <f t="shared" si="11"/>
        <v>#REF!</v>
      </c>
      <c r="N16" s="411" t="e">
        <f t="shared" si="11"/>
        <v>#REF!</v>
      </c>
      <c r="O16" s="411" t="e">
        <f t="shared" si="11"/>
        <v>#REF!</v>
      </c>
      <c r="P16" s="411" t="e">
        <f t="shared" si="11"/>
        <v>#REF!</v>
      </c>
      <c r="Q16" s="411" t="e">
        <f t="shared" si="11"/>
        <v>#REF!</v>
      </c>
      <c r="R16" s="411" t="e">
        <f t="shared" si="11"/>
        <v>#REF!</v>
      </c>
      <c r="S16" s="411" t="e">
        <f t="shared" si="11"/>
        <v>#REF!</v>
      </c>
      <c r="T16" s="411" t="e">
        <f t="shared" si="11"/>
        <v>#REF!</v>
      </c>
      <c r="U16" s="411" t="e">
        <f t="shared" si="11"/>
        <v>#REF!</v>
      </c>
      <c r="V16" s="411" t="e">
        <f t="shared" si="11"/>
        <v>#REF!</v>
      </c>
      <c r="W16" s="412"/>
      <c r="X16" s="413"/>
      <c r="Y16" s="413"/>
      <c r="Z16" s="413"/>
      <c r="AA16" s="413"/>
      <c r="AB16" s="413"/>
      <c r="AC16" s="413"/>
      <c r="AD16" s="413"/>
      <c r="AE16" s="413"/>
      <c r="AF16" s="413"/>
      <c r="AG16" s="413"/>
      <c r="AH16" s="413"/>
      <c r="AI16" s="413"/>
      <c r="AJ16" s="413"/>
      <c r="AK16" s="413"/>
      <c r="AL16" s="413"/>
      <c r="AM16" s="413"/>
      <c r="AN16" s="382"/>
      <c r="AO16" s="414" t="s">
        <v>151</v>
      </c>
      <c r="AP16" s="415">
        <f t="shared" ref="AP16:AU16" si="12">AP7-AP15</f>
        <v>8629435</v>
      </c>
      <c r="AQ16" s="415">
        <f t="shared" si="12"/>
        <v>9923804.4499999993</v>
      </c>
      <c r="AR16" s="415">
        <f t="shared" si="12"/>
        <v>14826435.43</v>
      </c>
      <c r="AS16" s="415">
        <f t="shared" si="12"/>
        <v>16718375.35</v>
      </c>
      <c r="AT16" s="415">
        <f t="shared" si="12"/>
        <v>20835760.035</v>
      </c>
      <c r="AU16" s="415">
        <f t="shared" si="12"/>
        <v>24953145.035</v>
      </c>
      <c r="AX16" s="385"/>
    </row>
    <row r="17" spans="1:50" s="17" customFormat="1" x14ac:dyDescent="0.35">
      <c r="A17" s="409"/>
      <c r="B17" s="416"/>
      <c r="C17" s="416"/>
      <c r="D17" s="416"/>
      <c r="E17" s="416"/>
      <c r="F17" s="416"/>
      <c r="G17" s="416"/>
      <c r="H17" s="416"/>
      <c r="I17" s="416"/>
      <c r="J17" s="416"/>
      <c r="K17" s="416"/>
      <c r="L17" s="416"/>
      <c r="M17" s="416"/>
      <c r="N17" s="416"/>
      <c r="O17" s="416"/>
      <c r="P17" s="416"/>
      <c r="Q17" s="416"/>
      <c r="R17" s="416"/>
      <c r="S17" s="416"/>
      <c r="T17" s="416"/>
      <c r="U17" s="416"/>
      <c r="V17" s="416"/>
      <c r="W17" s="417"/>
      <c r="X17" s="413"/>
      <c r="Y17" s="413"/>
      <c r="Z17" s="413"/>
      <c r="AA17" s="413"/>
      <c r="AB17" s="413"/>
      <c r="AC17" s="413"/>
      <c r="AD17" s="413"/>
      <c r="AE17" s="413"/>
      <c r="AF17" s="413"/>
      <c r="AG17" s="413"/>
      <c r="AH17" s="413"/>
      <c r="AI17" s="413"/>
      <c r="AJ17" s="413"/>
      <c r="AK17" s="413"/>
      <c r="AL17" s="413"/>
      <c r="AM17" s="413"/>
      <c r="AN17" s="382"/>
      <c r="AO17" s="418"/>
      <c r="AP17" s="419"/>
      <c r="AQ17" s="419"/>
      <c r="AR17" s="419"/>
      <c r="AS17" s="419"/>
      <c r="AT17" s="419"/>
      <c r="AU17" s="419"/>
    </row>
    <row r="18" spans="1:50" s="17" customFormat="1" x14ac:dyDescent="0.35">
      <c r="A18" s="420"/>
      <c r="B18" s="421"/>
      <c r="C18" s="421"/>
      <c r="D18" s="421"/>
      <c r="E18" s="421"/>
      <c r="F18" s="421"/>
      <c r="G18" s="421"/>
      <c r="H18" s="421"/>
      <c r="I18" s="421"/>
      <c r="J18" s="421"/>
      <c r="K18" s="421"/>
      <c r="L18" s="421"/>
      <c r="M18" s="421"/>
      <c r="N18" s="421"/>
      <c r="O18" s="421"/>
      <c r="P18" s="421"/>
      <c r="Q18" s="421"/>
      <c r="R18" s="421"/>
      <c r="S18" s="421"/>
      <c r="T18" s="421"/>
      <c r="U18" s="421"/>
      <c r="V18" s="421"/>
      <c r="W18" s="422"/>
      <c r="X18" s="413"/>
      <c r="Y18" s="413"/>
      <c r="Z18" s="413"/>
      <c r="AA18" s="413"/>
      <c r="AB18" s="413"/>
      <c r="AC18" s="413"/>
      <c r="AD18" s="413"/>
      <c r="AE18" s="413"/>
      <c r="AF18" s="413"/>
      <c r="AG18" s="413"/>
      <c r="AH18" s="413"/>
      <c r="AI18" s="413"/>
      <c r="AJ18" s="413"/>
      <c r="AK18" s="413"/>
      <c r="AL18" s="413"/>
      <c r="AM18" s="413"/>
      <c r="AN18" s="382"/>
      <c r="AO18" s="418"/>
      <c r="AP18" s="419"/>
      <c r="AQ18" s="419"/>
      <c r="AR18" s="419"/>
      <c r="AS18" s="419"/>
      <c r="AT18" s="419"/>
      <c r="AU18" s="419"/>
    </row>
    <row r="19" spans="1:50" s="22" customFormat="1" ht="18" customHeight="1" x14ac:dyDescent="0.35">
      <c r="A19" s="362" t="s">
        <v>194</v>
      </c>
      <c r="B19" s="423">
        <v>7251785.3600000031</v>
      </c>
      <c r="C19" s="423">
        <v>13553776.019999996</v>
      </c>
      <c r="D19" s="423">
        <v>3597814.0200000033</v>
      </c>
      <c r="E19" s="423">
        <v>11686240.629999999</v>
      </c>
      <c r="F19" s="423">
        <v>2941319.0099999979</v>
      </c>
      <c r="G19" s="423">
        <v>16431539.66</v>
      </c>
      <c r="H19" s="423"/>
      <c r="I19" s="424"/>
      <c r="J19" s="424"/>
      <c r="K19" s="425"/>
      <c r="L19" s="425"/>
      <c r="M19" s="425"/>
      <c r="N19" s="425"/>
      <c r="O19" s="425"/>
      <c r="P19" s="425"/>
      <c r="Q19" s="425"/>
      <c r="R19" s="425"/>
      <c r="S19" s="425"/>
      <c r="T19" s="425"/>
      <c r="U19" s="425"/>
      <c r="V19" s="425"/>
      <c r="W19" s="425"/>
      <c r="X19" s="426"/>
      <c r="Y19" s="426"/>
      <c r="Z19" s="426"/>
      <c r="AA19" s="426"/>
      <c r="AB19" s="426"/>
      <c r="AC19" s="426"/>
      <c r="AD19" s="426"/>
      <c r="AE19" s="426"/>
      <c r="AF19" s="426"/>
      <c r="AG19" s="426"/>
      <c r="AH19" s="426"/>
      <c r="AI19" s="426"/>
      <c r="AJ19" s="426"/>
      <c r="AK19" s="426"/>
      <c r="AL19" s="426"/>
      <c r="AM19" s="426"/>
      <c r="AN19" s="427"/>
      <c r="AO19" s="428"/>
      <c r="AP19" s="429"/>
      <c r="AQ19" s="429"/>
      <c r="AR19" s="429"/>
      <c r="AS19" s="430"/>
      <c r="AT19" s="430"/>
      <c r="AU19" s="431"/>
      <c r="AX19" s="432"/>
    </row>
    <row r="20" spans="1:50" x14ac:dyDescent="0.35">
      <c r="A20" s="371" t="s">
        <v>152</v>
      </c>
      <c r="B20" s="363">
        <f>'[1]Creditors Statistics'!G5</f>
        <v>17779628.130000003</v>
      </c>
      <c r="C20" s="363">
        <f>B33</f>
        <v>21356952.620000005</v>
      </c>
      <c r="D20" s="363">
        <f>C33</f>
        <v>25539362.730000004</v>
      </c>
      <c r="E20" s="363">
        <f>D33</f>
        <v>29271674.000000004</v>
      </c>
      <c r="F20" s="363">
        <f>E33</f>
        <v>30459806.780000005</v>
      </c>
      <c r="G20" s="363">
        <f>G19-G15</f>
        <v>16431539.66</v>
      </c>
      <c r="H20" s="372">
        <f>'[1]Payables List MEIL &amp; OCK'!G95</f>
        <v>14459365.6</v>
      </c>
      <c r="I20" s="372">
        <f>H33</f>
        <v>19256900.600000001</v>
      </c>
      <c r="J20" s="372">
        <v>31369571</v>
      </c>
      <c r="K20" s="372">
        <v>28108056.350000001</v>
      </c>
      <c r="L20" s="372">
        <f t="shared" ref="L20:V20" si="13">K33</f>
        <v>30320737.153816544</v>
      </c>
      <c r="M20" s="372">
        <f t="shared" si="13"/>
        <v>33626866.351506725</v>
      </c>
      <c r="N20" s="373">
        <f t="shared" si="13"/>
        <v>35378955.496175982</v>
      </c>
      <c r="O20" s="372">
        <v>32210105</v>
      </c>
      <c r="P20" s="372" t="e">
        <f t="shared" si="13"/>
        <v>#REF!</v>
      </c>
      <c r="Q20" s="372" t="e">
        <f t="shared" si="13"/>
        <v>#REF!</v>
      </c>
      <c r="R20" s="372" t="e">
        <f t="shared" si="13"/>
        <v>#REF!</v>
      </c>
      <c r="S20" s="372" t="e">
        <f t="shared" si="13"/>
        <v>#REF!</v>
      </c>
      <c r="T20" s="372" t="e">
        <f t="shared" si="13"/>
        <v>#REF!</v>
      </c>
      <c r="U20" s="372" t="e">
        <f t="shared" si="13"/>
        <v>#REF!</v>
      </c>
      <c r="V20" s="372" t="e">
        <f t="shared" si="13"/>
        <v>#REF!</v>
      </c>
      <c r="W20" s="372"/>
      <c r="X20" s="366"/>
      <c r="Y20" s="366"/>
      <c r="Z20" s="366"/>
      <c r="AA20" s="366"/>
      <c r="AB20" s="366"/>
      <c r="AC20" s="366"/>
      <c r="AD20" s="366"/>
      <c r="AE20" s="366"/>
      <c r="AF20" s="366"/>
      <c r="AG20" s="366"/>
      <c r="AH20" s="366"/>
      <c r="AI20" s="366"/>
      <c r="AJ20" s="366"/>
      <c r="AK20" s="366"/>
      <c r="AL20" s="366"/>
      <c r="AM20" s="366"/>
      <c r="AN20" s="345"/>
      <c r="AO20" s="375" t="s">
        <v>152</v>
      </c>
      <c r="AP20" s="368">
        <f>'[1]Creditors Statistics'!G28</f>
        <v>582334.87000000011</v>
      </c>
      <c r="AQ20" s="368">
        <f>AP33</f>
        <v>669034.87000000011</v>
      </c>
      <c r="AR20" s="368">
        <f>AQ33</f>
        <v>746354.70000000007</v>
      </c>
      <c r="AS20" s="376">
        <f>AR33</f>
        <v>889783.15000000014</v>
      </c>
      <c r="AT20" s="376">
        <f>AS33</f>
        <v>2305073.1500000004</v>
      </c>
      <c r="AU20" s="433">
        <f>AT33</f>
        <v>3128550.0870000003</v>
      </c>
      <c r="AX20" s="346"/>
    </row>
    <row r="21" spans="1:50" s="17" customFormat="1" x14ac:dyDescent="0.35">
      <c r="A21" s="377" t="s">
        <v>153</v>
      </c>
      <c r="B21" s="378">
        <f>'[1]Creditors Statistics'!H6</f>
        <v>3577324.49</v>
      </c>
      <c r="C21" s="378">
        <f>'[1]Creditors Statistics'!H7</f>
        <v>4182410.11</v>
      </c>
      <c r="D21" s="378">
        <f>'[1]Creditors Statistics'!H8</f>
        <v>3732311.27</v>
      </c>
      <c r="E21" s="378">
        <f>'[1]Creditors Statistics'!H9</f>
        <v>1188132.78</v>
      </c>
      <c r="F21" s="378">
        <f>'[1]Creditors Statistics'!H10</f>
        <v>1380378</v>
      </c>
      <c r="G21" s="378">
        <f>'[1]Creditors Statistics'!H11</f>
        <v>7354182.1711999997</v>
      </c>
      <c r="H21" s="378">
        <f>'[1]Creditors Statistics'!H12</f>
        <v>4797535</v>
      </c>
      <c r="I21" s="379">
        <f>'[1]Oct 2010 MEIL Income Statement'!F19</f>
        <v>5701705.2960099997</v>
      </c>
      <c r="J21" s="379">
        <v>2998770.3207172411</v>
      </c>
      <c r="K21" s="380">
        <f>+'MEIL 2012 Budget (Orig)'!B22</f>
        <v>5581651.5986850513</v>
      </c>
      <c r="L21" s="380">
        <f>+'MEIL 2012 Budget (Orig)'!C22</f>
        <v>7042447.6811909303</v>
      </c>
      <c r="M21" s="380">
        <f>+'MEIL 2012 Budget (Orig)'!D22</f>
        <v>6542780.7561658556</v>
      </c>
      <c r="N21" s="380">
        <f>+'MEIL 2012 Budget (Orig)'!E22</f>
        <v>6826297.3284477862</v>
      </c>
      <c r="O21" s="380" t="e">
        <f>+#REF!</f>
        <v>#REF!</v>
      </c>
      <c r="P21" s="380" t="e">
        <f>+#REF!</f>
        <v>#REF!</v>
      </c>
      <c r="Q21" s="380" t="e">
        <f>+#REF!</f>
        <v>#REF!</v>
      </c>
      <c r="R21" s="380" t="e">
        <f>+#REF!</f>
        <v>#REF!</v>
      </c>
      <c r="S21" s="380" t="e">
        <f>+#REF!</f>
        <v>#REF!</v>
      </c>
      <c r="T21" s="380" t="e">
        <f>+#REF!</f>
        <v>#REF!</v>
      </c>
      <c r="U21" s="380" t="e">
        <f>+#REF!</f>
        <v>#REF!</v>
      </c>
      <c r="V21" s="380" t="e">
        <f>+#REF!</f>
        <v>#REF!</v>
      </c>
      <c r="W21" s="380" t="e">
        <f>SUM(K21:V21)</f>
        <v>#REF!</v>
      </c>
      <c r="X21" s="381"/>
      <c r="Y21" s="381"/>
      <c r="Z21" s="381"/>
      <c r="AA21" s="381"/>
      <c r="AB21" s="381"/>
      <c r="AC21" s="381"/>
      <c r="AD21" s="381"/>
      <c r="AE21" s="381"/>
      <c r="AF21" s="381"/>
      <c r="AG21" s="381"/>
      <c r="AH21" s="381"/>
      <c r="AI21" s="381"/>
      <c r="AJ21" s="381"/>
      <c r="AK21" s="381"/>
      <c r="AL21" s="381"/>
      <c r="AM21" s="381"/>
      <c r="AN21" s="382"/>
      <c r="AO21" s="375" t="s">
        <v>153</v>
      </c>
      <c r="AP21" s="383">
        <f>'[1]Oct 2010 OCK Income Statement'!M17</f>
        <v>86700</v>
      </c>
      <c r="AQ21" s="383">
        <v>77319.83</v>
      </c>
      <c r="AR21" s="383">
        <v>143428.45000000001</v>
      </c>
      <c r="AS21" s="384">
        <v>1415290</v>
      </c>
      <c r="AT21" s="384">
        <f>'[1]Oct 2010 OCK Income Statement'!E17</f>
        <v>823476.93700000003</v>
      </c>
      <c r="AU21" s="434">
        <f>'[1]Oct 2010 OCK Income Statement'!F17</f>
        <v>823477</v>
      </c>
      <c r="AX21" s="385"/>
    </row>
    <row r="22" spans="1:50" s="17" customFormat="1" x14ac:dyDescent="0.35">
      <c r="A22" s="386" t="s">
        <v>154</v>
      </c>
      <c r="B22" s="387">
        <f t="shared" ref="B22:U22" si="14">SUM(B20:B21)</f>
        <v>21356952.620000005</v>
      </c>
      <c r="C22" s="387">
        <f t="shared" si="14"/>
        <v>25539362.730000004</v>
      </c>
      <c r="D22" s="387">
        <f t="shared" si="14"/>
        <v>29271674.000000004</v>
      </c>
      <c r="E22" s="387">
        <f t="shared" si="14"/>
        <v>30459806.780000005</v>
      </c>
      <c r="F22" s="387">
        <f t="shared" si="14"/>
        <v>31840184.780000005</v>
      </c>
      <c r="G22" s="387">
        <f t="shared" si="14"/>
        <v>23785721.8312</v>
      </c>
      <c r="H22" s="387">
        <f t="shared" si="14"/>
        <v>19256900.600000001</v>
      </c>
      <c r="I22" s="388">
        <f t="shared" si="14"/>
        <v>24958605.89601</v>
      </c>
      <c r="J22" s="388">
        <f t="shared" si="14"/>
        <v>34368341.320717238</v>
      </c>
      <c r="K22" s="388">
        <f t="shared" si="14"/>
        <v>33689707.94868505</v>
      </c>
      <c r="L22" s="388">
        <f t="shared" si="14"/>
        <v>37363184.835007474</v>
      </c>
      <c r="M22" s="388">
        <f t="shared" si="14"/>
        <v>40169647.10767258</v>
      </c>
      <c r="N22" s="388">
        <f t="shared" si="14"/>
        <v>42205252.824623771</v>
      </c>
      <c r="O22" s="388" t="e">
        <f t="shared" si="14"/>
        <v>#REF!</v>
      </c>
      <c r="P22" s="388" t="e">
        <f t="shared" si="14"/>
        <v>#REF!</v>
      </c>
      <c r="Q22" s="388" t="e">
        <f t="shared" si="14"/>
        <v>#REF!</v>
      </c>
      <c r="R22" s="388" t="e">
        <f t="shared" si="14"/>
        <v>#REF!</v>
      </c>
      <c r="S22" s="388" t="e">
        <f t="shared" si="14"/>
        <v>#REF!</v>
      </c>
      <c r="T22" s="388" t="e">
        <f t="shared" si="14"/>
        <v>#REF!</v>
      </c>
      <c r="U22" s="388" t="e">
        <f t="shared" si="14"/>
        <v>#REF!</v>
      </c>
      <c r="V22" s="388" t="e">
        <f>SUM(V20:V21)</f>
        <v>#REF!</v>
      </c>
      <c r="W22" s="380" t="e">
        <f>SUM(K22:V22)</f>
        <v>#REF!</v>
      </c>
      <c r="X22" s="381"/>
      <c r="Y22" s="381"/>
      <c r="Z22" s="381"/>
      <c r="AA22" s="381"/>
      <c r="AB22" s="381"/>
      <c r="AC22" s="381"/>
      <c r="AD22" s="381"/>
      <c r="AE22" s="381"/>
      <c r="AF22" s="381"/>
      <c r="AG22" s="381"/>
      <c r="AH22" s="381"/>
      <c r="AI22" s="381"/>
      <c r="AJ22" s="381"/>
      <c r="AK22" s="381"/>
      <c r="AL22" s="381"/>
      <c r="AM22" s="381"/>
      <c r="AN22" s="382"/>
      <c r="AO22" s="375" t="s">
        <v>154</v>
      </c>
      <c r="AP22" s="383">
        <f t="shared" ref="AP22:AU22" si="15">SUM(AP20:AP21)</f>
        <v>669034.87000000011</v>
      </c>
      <c r="AQ22" s="383">
        <f t="shared" si="15"/>
        <v>746354.70000000007</v>
      </c>
      <c r="AR22" s="383">
        <f t="shared" si="15"/>
        <v>889783.15000000014</v>
      </c>
      <c r="AS22" s="384">
        <f t="shared" si="15"/>
        <v>2305073.1500000004</v>
      </c>
      <c r="AT22" s="384">
        <f t="shared" si="15"/>
        <v>3128550.0870000003</v>
      </c>
      <c r="AU22" s="434">
        <f t="shared" si="15"/>
        <v>3952027.0870000003</v>
      </c>
      <c r="AX22" s="385"/>
    </row>
    <row r="23" spans="1:50" x14ac:dyDescent="0.35">
      <c r="A23" s="435" t="s">
        <v>317</v>
      </c>
      <c r="B23" s="389"/>
      <c r="C23" s="389"/>
      <c r="D23" s="389"/>
      <c r="E23" s="389"/>
      <c r="F23" s="389"/>
      <c r="G23" s="389"/>
      <c r="H23" s="389"/>
      <c r="I23" s="389"/>
      <c r="J23" s="390"/>
      <c r="K23" s="391"/>
      <c r="L23" s="391"/>
      <c r="M23" s="391"/>
      <c r="N23" s="391"/>
      <c r="O23" s="391"/>
      <c r="P23" s="391"/>
      <c r="Q23" s="391"/>
      <c r="R23" s="391"/>
      <c r="S23" s="391"/>
      <c r="T23" s="391"/>
      <c r="U23" s="391"/>
      <c r="V23" s="391"/>
      <c r="W23" s="391"/>
      <c r="X23" s="391"/>
      <c r="Y23" s="392"/>
      <c r="Z23" s="392"/>
      <c r="AA23" s="392"/>
      <c r="AB23" s="392"/>
      <c r="AC23" s="392"/>
      <c r="AD23" s="392"/>
      <c r="AE23" s="392"/>
      <c r="AF23" s="392"/>
      <c r="AG23" s="392"/>
      <c r="AH23" s="392"/>
      <c r="AI23" s="392"/>
      <c r="AJ23" s="392"/>
      <c r="AK23" s="392"/>
      <c r="AL23" s="392"/>
      <c r="AM23" s="392"/>
      <c r="AN23" s="345"/>
      <c r="AO23" s="436"/>
      <c r="AP23" s="393"/>
      <c r="AQ23" s="393"/>
      <c r="AR23" s="393"/>
      <c r="AS23" s="394"/>
      <c r="AT23" s="394"/>
      <c r="AU23" s="437"/>
      <c r="AX23" s="346"/>
    </row>
    <row r="24" spans="1:50" x14ac:dyDescent="0.35">
      <c r="A24" s="377" t="s">
        <v>322</v>
      </c>
      <c r="B24" s="389"/>
      <c r="C24" s="389"/>
      <c r="D24" s="389"/>
      <c r="E24" s="389"/>
      <c r="F24" s="389"/>
      <c r="G24" s="389"/>
      <c r="H24" s="389"/>
      <c r="I24" s="389"/>
      <c r="J24" s="390"/>
      <c r="K24" s="391"/>
      <c r="L24" s="391"/>
      <c r="M24" s="391"/>
      <c r="N24" s="391"/>
      <c r="O24" s="391">
        <f>0.1*O20</f>
        <v>3221010.5</v>
      </c>
      <c r="P24" s="391">
        <f>0.3*O20</f>
        <v>9663031.5</v>
      </c>
      <c r="Q24" s="391">
        <f>0.3*O20</f>
        <v>9663031.5</v>
      </c>
      <c r="R24" s="391">
        <f>0.3*O20</f>
        <v>9663031.5</v>
      </c>
      <c r="S24" s="391"/>
      <c r="T24" s="391"/>
      <c r="U24" s="391"/>
      <c r="V24" s="391"/>
      <c r="W24" s="391"/>
      <c r="X24" s="392"/>
      <c r="Y24" s="392"/>
      <c r="Z24" s="392"/>
      <c r="AA24" s="392"/>
      <c r="AB24" s="392"/>
      <c r="AC24" s="392"/>
      <c r="AD24" s="392"/>
      <c r="AE24" s="392"/>
      <c r="AF24" s="392"/>
      <c r="AG24" s="392"/>
      <c r="AH24" s="392"/>
      <c r="AI24" s="392"/>
      <c r="AJ24" s="392"/>
      <c r="AK24" s="392"/>
      <c r="AL24" s="392"/>
      <c r="AM24" s="392"/>
      <c r="AN24" s="345"/>
      <c r="AO24" s="436"/>
      <c r="AP24" s="393"/>
      <c r="AQ24" s="393"/>
      <c r="AR24" s="393"/>
      <c r="AS24" s="394"/>
      <c r="AT24" s="394"/>
      <c r="AU24" s="437"/>
      <c r="AX24" s="346"/>
    </row>
    <row r="25" spans="1:50" x14ac:dyDescent="0.35">
      <c r="A25" s="438" t="s">
        <v>323</v>
      </c>
      <c r="B25" s="389"/>
      <c r="C25" s="389"/>
      <c r="D25" s="389"/>
      <c r="E25" s="389"/>
      <c r="F25" s="389"/>
      <c r="G25" s="389"/>
      <c r="H25" s="389"/>
      <c r="I25" s="390"/>
      <c r="J25" s="390"/>
      <c r="K25" s="391">
        <f>0.1*K22</f>
        <v>3368970.7948685051</v>
      </c>
      <c r="L25" s="391">
        <f>0.1*L22</f>
        <v>3736318.4835007475</v>
      </c>
      <c r="M25" s="391">
        <f>0.1*M21</f>
        <v>654278.07561658556</v>
      </c>
      <c r="N25" s="391">
        <f>0.1*N21</f>
        <v>682629.73284477869</v>
      </c>
      <c r="O25" s="391" t="e">
        <f>0.05*O21</f>
        <v>#REF!</v>
      </c>
      <c r="P25" s="391" t="e">
        <f t="shared" ref="P25:V25" si="16">0.05*P21</f>
        <v>#REF!</v>
      </c>
      <c r="Q25" s="391" t="e">
        <f t="shared" si="16"/>
        <v>#REF!</v>
      </c>
      <c r="R25" s="391" t="e">
        <f t="shared" si="16"/>
        <v>#REF!</v>
      </c>
      <c r="S25" s="391" t="e">
        <f t="shared" si="16"/>
        <v>#REF!</v>
      </c>
      <c r="T25" s="391" t="e">
        <f t="shared" si="16"/>
        <v>#REF!</v>
      </c>
      <c r="U25" s="391" t="e">
        <f t="shared" si="16"/>
        <v>#REF!</v>
      </c>
      <c r="V25" s="391" t="e">
        <f t="shared" si="16"/>
        <v>#REF!</v>
      </c>
      <c r="W25" s="391"/>
      <c r="X25" s="392"/>
      <c r="Y25" s="392"/>
      <c r="Z25" s="392"/>
      <c r="AA25" s="392"/>
      <c r="AB25" s="392"/>
      <c r="AC25" s="392"/>
      <c r="AD25" s="392"/>
      <c r="AE25" s="392"/>
      <c r="AF25" s="392"/>
      <c r="AG25" s="392"/>
      <c r="AH25" s="392"/>
      <c r="AI25" s="392"/>
      <c r="AJ25" s="392"/>
      <c r="AK25" s="392"/>
      <c r="AL25" s="392"/>
      <c r="AM25" s="392"/>
      <c r="AN25" s="345"/>
      <c r="AO25" s="436"/>
      <c r="AP25" s="393"/>
      <c r="AQ25" s="393"/>
      <c r="AR25" s="437"/>
      <c r="AS25" s="394"/>
      <c r="AT25" s="394"/>
      <c r="AU25" s="437"/>
      <c r="AX25" s="346"/>
    </row>
    <row r="26" spans="1:50" x14ac:dyDescent="0.35">
      <c r="A26" s="438" t="s">
        <v>324</v>
      </c>
      <c r="B26" s="389"/>
      <c r="C26" s="389"/>
      <c r="D26" s="389"/>
      <c r="E26" s="389"/>
      <c r="F26" s="389"/>
      <c r="G26" s="389"/>
      <c r="H26" s="389"/>
      <c r="I26" s="390"/>
      <c r="J26" s="390"/>
      <c r="K26" s="391"/>
      <c r="L26" s="391">
        <f>0.1*K22</f>
        <v>3368970.7948685051</v>
      </c>
      <c r="M26" s="391">
        <f>0.1*L21</f>
        <v>704244.76811909303</v>
      </c>
      <c r="N26" s="391">
        <f>0.1*M21</f>
        <v>654278.07561658556</v>
      </c>
      <c r="O26" s="391">
        <f>0.2*N21</f>
        <v>1365259.4656895574</v>
      </c>
      <c r="P26" s="391" t="e">
        <f t="shared" ref="P26:V26" si="17">0.2*O21</f>
        <v>#REF!</v>
      </c>
      <c r="Q26" s="391" t="e">
        <f t="shared" si="17"/>
        <v>#REF!</v>
      </c>
      <c r="R26" s="391" t="e">
        <f t="shared" si="17"/>
        <v>#REF!</v>
      </c>
      <c r="S26" s="391" t="e">
        <f t="shared" si="17"/>
        <v>#REF!</v>
      </c>
      <c r="T26" s="391" t="e">
        <f t="shared" si="17"/>
        <v>#REF!</v>
      </c>
      <c r="U26" s="391" t="e">
        <f t="shared" si="17"/>
        <v>#REF!</v>
      </c>
      <c r="V26" s="391" t="e">
        <f t="shared" si="17"/>
        <v>#REF!</v>
      </c>
      <c r="W26" s="391"/>
      <c r="X26" s="392"/>
      <c r="Y26" s="392"/>
      <c r="Z26" s="392"/>
      <c r="AA26" s="392"/>
      <c r="AB26" s="392"/>
      <c r="AC26" s="392"/>
      <c r="AD26" s="392"/>
      <c r="AE26" s="392"/>
      <c r="AF26" s="392"/>
      <c r="AG26" s="392"/>
      <c r="AH26" s="392"/>
      <c r="AI26" s="392"/>
      <c r="AJ26" s="392"/>
      <c r="AK26" s="392"/>
      <c r="AL26" s="392"/>
      <c r="AM26" s="392"/>
      <c r="AN26" s="345"/>
      <c r="AO26" s="436"/>
      <c r="AP26" s="393"/>
      <c r="AQ26" s="393"/>
      <c r="AR26" s="437"/>
      <c r="AS26" s="394"/>
      <c r="AT26" s="394"/>
      <c r="AU26" s="437"/>
      <c r="AX26" s="346"/>
    </row>
    <row r="27" spans="1:50" x14ac:dyDescent="0.35">
      <c r="A27" s="438" t="s">
        <v>316</v>
      </c>
      <c r="B27" s="389"/>
      <c r="C27" s="389"/>
      <c r="D27" s="389"/>
      <c r="E27" s="389"/>
      <c r="F27" s="389"/>
      <c r="G27" s="389"/>
      <c r="H27" s="389"/>
      <c r="I27" s="390"/>
      <c r="J27" s="390"/>
      <c r="K27" s="346"/>
      <c r="L27" s="391"/>
      <c r="M27" s="391">
        <f>0.4*K21</f>
        <v>2232660.6394740208</v>
      </c>
      <c r="N27" s="391">
        <f>0.4*L21</f>
        <v>2816979.0724763721</v>
      </c>
      <c r="O27" s="391">
        <f>0.4*M21</f>
        <v>2617112.3024663422</v>
      </c>
      <c r="P27" s="391">
        <f t="shared" ref="P27:X27" si="18">0.4*N21</f>
        <v>2730518.9313791147</v>
      </c>
      <c r="Q27" s="391" t="e">
        <f t="shared" si="18"/>
        <v>#REF!</v>
      </c>
      <c r="R27" s="391" t="e">
        <f t="shared" si="18"/>
        <v>#REF!</v>
      </c>
      <c r="S27" s="391" t="e">
        <f t="shared" si="18"/>
        <v>#REF!</v>
      </c>
      <c r="T27" s="391" t="e">
        <f t="shared" si="18"/>
        <v>#REF!</v>
      </c>
      <c r="U27" s="391" t="e">
        <f t="shared" si="18"/>
        <v>#REF!</v>
      </c>
      <c r="V27" s="391" t="e">
        <f t="shared" si="18"/>
        <v>#REF!</v>
      </c>
      <c r="W27" s="391" t="e">
        <f t="shared" si="18"/>
        <v>#REF!</v>
      </c>
      <c r="X27" s="391" t="e">
        <f t="shared" si="18"/>
        <v>#REF!</v>
      </c>
      <c r="Y27" s="392"/>
      <c r="Z27" s="392"/>
      <c r="AA27" s="392"/>
      <c r="AB27" s="392"/>
      <c r="AC27" s="392"/>
      <c r="AD27" s="392"/>
      <c r="AE27" s="392"/>
      <c r="AF27" s="392"/>
      <c r="AG27" s="392"/>
      <c r="AH27" s="392"/>
      <c r="AI27" s="392"/>
      <c r="AJ27" s="392"/>
      <c r="AK27" s="392"/>
      <c r="AL27" s="392"/>
      <c r="AM27" s="392"/>
      <c r="AN27" s="345"/>
      <c r="AO27" s="436"/>
      <c r="AP27" s="393"/>
      <c r="AQ27" s="393"/>
      <c r="AR27" s="393"/>
      <c r="AS27" s="394"/>
      <c r="AT27" s="394"/>
      <c r="AU27" s="437"/>
      <c r="AX27" s="346"/>
    </row>
    <row r="28" spans="1:50" x14ac:dyDescent="0.35">
      <c r="A28" s="438" t="s">
        <v>318</v>
      </c>
      <c r="B28" s="439"/>
      <c r="C28" s="439"/>
      <c r="D28" s="439"/>
      <c r="E28" s="439"/>
      <c r="F28" s="439"/>
      <c r="G28" s="389"/>
      <c r="H28" s="389"/>
      <c r="I28" s="389"/>
      <c r="J28" s="390"/>
      <c r="K28" s="391"/>
      <c r="L28" s="391"/>
      <c r="M28" s="391">
        <f>0.4*J21</f>
        <v>1199508.1282868965</v>
      </c>
      <c r="N28" s="391">
        <f>0.4*K21</f>
        <v>2232660.6394740208</v>
      </c>
      <c r="O28" s="391">
        <f>0.4*L21</f>
        <v>2816979.0724763721</v>
      </c>
      <c r="P28" s="391">
        <f>0.4*M21</f>
        <v>2617112.3024663422</v>
      </c>
      <c r="Q28" s="391">
        <f t="shared" ref="Q28:V28" si="19">0.4*N21</f>
        <v>2730518.9313791147</v>
      </c>
      <c r="R28" s="391" t="e">
        <f t="shared" si="19"/>
        <v>#REF!</v>
      </c>
      <c r="S28" s="391" t="e">
        <f t="shared" si="19"/>
        <v>#REF!</v>
      </c>
      <c r="T28" s="391" t="e">
        <f>0.4*Q21</f>
        <v>#REF!</v>
      </c>
      <c r="U28" s="391" t="e">
        <f t="shared" si="19"/>
        <v>#REF!</v>
      </c>
      <c r="V28" s="391" t="e">
        <f t="shared" si="19"/>
        <v>#REF!</v>
      </c>
      <c r="W28" s="391"/>
      <c r="X28" s="3"/>
      <c r="Y28" s="3"/>
      <c r="Z28" s="3"/>
      <c r="AA28" s="3"/>
      <c r="AB28" s="3"/>
      <c r="AC28" s="3"/>
      <c r="AD28" s="3"/>
      <c r="AE28" s="3"/>
      <c r="AF28" s="3"/>
      <c r="AG28" s="3"/>
      <c r="AH28" s="3"/>
      <c r="AI28" s="3"/>
      <c r="AJ28" s="3"/>
      <c r="AK28" s="3"/>
      <c r="AL28" s="3"/>
      <c r="AM28" s="3"/>
      <c r="AN28" s="345"/>
      <c r="AO28" s="436"/>
      <c r="AS28" s="440"/>
      <c r="AT28" s="440"/>
      <c r="AU28" s="437"/>
      <c r="AX28" s="346"/>
    </row>
    <row r="29" spans="1:50" hidden="1" x14ac:dyDescent="0.35">
      <c r="A29" s="438"/>
      <c r="B29" s="389"/>
      <c r="C29" s="389"/>
      <c r="D29" s="389"/>
      <c r="E29" s="389"/>
      <c r="F29" s="389"/>
      <c r="G29" s="389"/>
      <c r="H29" s="389"/>
      <c r="I29" s="389"/>
      <c r="J29" s="389"/>
      <c r="K29" s="389"/>
      <c r="L29" s="389"/>
      <c r="M29" s="389"/>
      <c r="N29" s="389"/>
      <c r="O29" s="389"/>
      <c r="P29" s="389"/>
      <c r="Q29" s="389"/>
      <c r="R29" s="389"/>
      <c r="S29" s="389"/>
      <c r="T29" s="389"/>
      <c r="U29" s="389"/>
      <c r="V29" s="390"/>
      <c r="W29" s="391"/>
      <c r="X29" s="3"/>
      <c r="Y29" s="3"/>
      <c r="Z29" s="3"/>
      <c r="AA29" s="3"/>
      <c r="AB29" s="3"/>
      <c r="AC29" s="3"/>
      <c r="AD29" s="3"/>
      <c r="AE29" s="3"/>
      <c r="AF29" s="3"/>
      <c r="AG29" s="3"/>
      <c r="AH29" s="3"/>
      <c r="AI29" s="3"/>
      <c r="AJ29" s="3"/>
      <c r="AK29" s="3"/>
      <c r="AL29" s="3"/>
      <c r="AM29" s="3"/>
      <c r="AN29" s="345"/>
      <c r="AO29" s="436"/>
      <c r="AP29" s="393"/>
      <c r="AQ29" s="393"/>
      <c r="AR29" s="437"/>
      <c r="AS29" s="394"/>
      <c r="AT29" s="394"/>
      <c r="AU29" s="437"/>
      <c r="AX29" s="346"/>
    </row>
    <row r="30" spans="1:50" ht="14.5" hidden="1" x14ac:dyDescent="0.35">
      <c r="A30" s="439"/>
      <c r="B30" s="389"/>
      <c r="C30" s="389"/>
      <c r="D30" s="389"/>
      <c r="E30" s="389"/>
      <c r="F30" s="389"/>
      <c r="G30" s="389"/>
      <c r="H30" s="389"/>
      <c r="I30" s="389"/>
      <c r="J30" s="390"/>
      <c r="K30" s="391"/>
      <c r="L30" s="391"/>
      <c r="M30" s="391"/>
      <c r="N30" s="391"/>
      <c r="O30" s="391"/>
      <c r="P30" s="391"/>
      <c r="Q30" s="391"/>
      <c r="R30" s="391"/>
      <c r="S30" s="391"/>
      <c r="T30" s="391"/>
      <c r="U30" s="391"/>
      <c r="V30" s="391"/>
      <c r="W30" s="391"/>
      <c r="X30" s="3"/>
      <c r="Y30" s="3"/>
      <c r="Z30" s="3"/>
      <c r="AA30" s="3"/>
      <c r="AB30" s="3"/>
      <c r="AC30" s="3"/>
      <c r="AD30" s="3"/>
      <c r="AE30" s="3"/>
      <c r="AF30" s="3"/>
      <c r="AG30" s="3"/>
      <c r="AH30" s="3"/>
      <c r="AI30" s="3"/>
      <c r="AJ30" s="3"/>
      <c r="AK30" s="3"/>
      <c r="AL30" s="3"/>
      <c r="AM30" s="3"/>
      <c r="AN30" s="345"/>
      <c r="AO30" s="441"/>
      <c r="AP30" s="393"/>
      <c r="AQ30" s="393"/>
      <c r="AR30" s="393"/>
      <c r="AS30" s="394"/>
      <c r="AT30" s="394"/>
      <c r="AU30" s="437"/>
      <c r="AX30" s="346"/>
    </row>
    <row r="31" spans="1:50" hidden="1" x14ac:dyDescent="0.35">
      <c r="A31" s="438"/>
      <c r="B31" s="439"/>
      <c r="C31" s="439"/>
      <c r="D31" s="439"/>
      <c r="E31" s="439"/>
      <c r="F31" s="439"/>
      <c r="G31" s="389"/>
      <c r="H31" s="442"/>
      <c r="I31" s="443"/>
      <c r="J31" s="443"/>
      <c r="K31" s="444"/>
      <c r="L31" s="444"/>
      <c r="M31" s="444"/>
      <c r="N31" s="444"/>
      <c r="O31" s="444"/>
      <c r="P31" s="444"/>
      <c r="Q31" s="444"/>
      <c r="R31" s="444"/>
      <c r="S31" s="444"/>
      <c r="T31" s="444"/>
      <c r="U31" s="444"/>
      <c r="V31" s="444"/>
      <c r="W31" s="444"/>
      <c r="X31" s="3"/>
      <c r="Y31" s="3"/>
      <c r="Z31" s="3"/>
      <c r="AA31" s="3"/>
      <c r="AB31" s="3"/>
      <c r="AC31" s="3"/>
      <c r="AD31" s="3"/>
      <c r="AE31" s="3"/>
      <c r="AF31" s="3"/>
      <c r="AG31" s="3"/>
      <c r="AH31" s="3"/>
      <c r="AI31" s="3"/>
      <c r="AJ31" s="3"/>
      <c r="AK31" s="3"/>
      <c r="AL31" s="3"/>
      <c r="AM31" s="3"/>
      <c r="AN31" s="345"/>
      <c r="AO31" s="436"/>
      <c r="AS31" s="445"/>
      <c r="AT31" s="446"/>
      <c r="AU31" s="447"/>
      <c r="AX31" s="346"/>
    </row>
    <row r="32" spans="1:50" s="17" customFormat="1" x14ac:dyDescent="0.35">
      <c r="A32" s="386" t="s">
        <v>158</v>
      </c>
      <c r="B32" s="387">
        <f t="shared" ref="B32:M32" si="20">SUM(B23:B31)</f>
        <v>0</v>
      </c>
      <c r="C32" s="387">
        <f t="shared" si="20"/>
        <v>0</v>
      </c>
      <c r="D32" s="387">
        <f t="shared" si="20"/>
        <v>0</v>
      </c>
      <c r="E32" s="387">
        <f t="shared" si="20"/>
        <v>0</v>
      </c>
      <c r="F32" s="387">
        <f t="shared" si="20"/>
        <v>0</v>
      </c>
      <c r="G32" s="387">
        <f t="shared" si="20"/>
        <v>0</v>
      </c>
      <c r="H32" s="387">
        <f t="shared" si="20"/>
        <v>0</v>
      </c>
      <c r="I32" s="388">
        <f t="shared" si="20"/>
        <v>0</v>
      </c>
      <c r="J32" s="402">
        <f t="shared" si="20"/>
        <v>0</v>
      </c>
      <c r="K32" s="448">
        <f t="shared" si="20"/>
        <v>3368970.7948685051</v>
      </c>
      <c r="L32" s="403">
        <f t="shared" si="20"/>
        <v>7105289.2783692526</v>
      </c>
      <c r="M32" s="403">
        <f t="shared" si="20"/>
        <v>4790691.6114965957</v>
      </c>
      <c r="N32" s="403">
        <f t="shared" ref="N32:V32" si="21">SUM(N23:N31)</f>
        <v>6386547.5204117578</v>
      </c>
      <c r="O32" s="403" t="e">
        <f t="shared" si="21"/>
        <v>#REF!</v>
      </c>
      <c r="P32" s="403" t="e">
        <f t="shared" si="21"/>
        <v>#REF!</v>
      </c>
      <c r="Q32" s="403" t="e">
        <f t="shared" si="21"/>
        <v>#REF!</v>
      </c>
      <c r="R32" s="403" t="e">
        <f t="shared" si="21"/>
        <v>#REF!</v>
      </c>
      <c r="S32" s="403" t="e">
        <f t="shared" si="21"/>
        <v>#REF!</v>
      </c>
      <c r="T32" s="403" t="e">
        <f t="shared" si="21"/>
        <v>#REF!</v>
      </c>
      <c r="U32" s="403" t="e">
        <f t="shared" si="21"/>
        <v>#REF!</v>
      </c>
      <c r="V32" s="403" t="e">
        <f t="shared" si="21"/>
        <v>#REF!</v>
      </c>
      <c r="W32" s="403"/>
      <c r="X32" s="381"/>
      <c r="Y32" s="381"/>
      <c r="Z32" s="381"/>
      <c r="AA32" s="381"/>
      <c r="AB32" s="381"/>
      <c r="AC32" s="381"/>
      <c r="AD32" s="381"/>
      <c r="AE32" s="381"/>
      <c r="AF32" s="381"/>
      <c r="AG32" s="381"/>
      <c r="AH32" s="381"/>
      <c r="AI32" s="381"/>
      <c r="AJ32" s="381"/>
      <c r="AK32" s="381"/>
      <c r="AL32" s="381"/>
      <c r="AM32" s="381"/>
      <c r="AN32" s="382"/>
      <c r="AO32" s="404" t="s">
        <v>158</v>
      </c>
      <c r="AP32" s="405">
        <f t="shared" ref="AP32:AU32" si="22">SUM(AP23:AP31)</f>
        <v>0</v>
      </c>
      <c r="AQ32" s="405">
        <f t="shared" si="22"/>
        <v>0</v>
      </c>
      <c r="AR32" s="405">
        <f t="shared" si="22"/>
        <v>0</v>
      </c>
      <c r="AS32" s="449">
        <f t="shared" si="22"/>
        <v>0</v>
      </c>
      <c r="AT32" s="450">
        <f t="shared" si="22"/>
        <v>0</v>
      </c>
      <c r="AU32" s="451">
        <f t="shared" si="22"/>
        <v>0</v>
      </c>
      <c r="AX32" s="385"/>
    </row>
    <row r="33" spans="1:51" s="17" customFormat="1" x14ac:dyDescent="0.35">
      <c r="A33" s="386" t="s">
        <v>159</v>
      </c>
      <c r="B33" s="387">
        <f t="shared" ref="B33:I33" si="23">B22-B32</f>
        <v>21356952.620000005</v>
      </c>
      <c r="C33" s="387">
        <f t="shared" si="23"/>
        <v>25539362.730000004</v>
      </c>
      <c r="D33" s="387">
        <f t="shared" si="23"/>
        <v>29271674.000000004</v>
      </c>
      <c r="E33" s="387">
        <f t="shared" si="23"/>
        <v>30459806.780000005</v>
      </c>
      <c r="F33" s="387">
        <f t="shared" si="23"/>
        <v>31840184.780000005</v>
      </c>
      <c r="G33" s="387">
        <f t="shared" si="23"/>
        <v>23785721.8312</v>
      </c>
      <c r="H33" s="387">
        <f t="shared" si="23"/>
        <v>19256900.600000001</v>
      </c>
      <c r="I33" s="387">
        <f t="shared" si="23"/>
        <v>24958605.89601</v>
      </c>
      <c r="J33" s="388">
        <f>J22-J32+J30+J29+J28+J26+6087540</f>
        <v>40455881.320717238</v>
      </c>
      <c r="K33" s="388">
        <f>K22-K32+K30+K29+K28+K26</f>
        <v>30320737.153816544</v>
      </c>
      <c r="L33" s="388">
        <f>L22-L32+L30+L29+L28+L26</f>
        <v>33626866.351506725</v>
      </c>
      <c r="M33" s="388">
        <f>+M22-M32</f>
        <v>35378955.496175982</v>
      </c>
      <c r="N33" s="388">
        <f t="shared" ref="N33:V33" si="24">+N22-N32</f>
        <v>35818705.304212011</v>
      </c>
      <c r="O33" s="388" t="e">
        <f t="shared" si="24"/>
        <v>#REF!</v>
      </c>
      <c r="P33" s="388" t="e">
        <f t="shared" si="24"/>
        <v>#REF!</v>
      </c>
      <c r="Q33" s="388" t="e">
        <f t="shared" si="24"/>
        <v>#REF!</v>
      </c>
      <c r="R33" s="388" t="e">
        <f t="shared" si="24"/>
        <v>#REF!</v>
      </c>
      <c r="S33" s="388" t="e">
        <f t="shared" si="24"/>
        <v>#REF!</v>
      </c>
      <c r="T33" s="388" t="e">
        <f t="shared" si="24"/>
        <v>#REF!</v>
      </c>
      <c r="U33" s="388" t="e">
        <f t="shared" si="24"/>
        <v>#REF!</v>
      </c>
      <c r="V33" s="388" t="e">
        <f t="shared" si="24"/>
        <v>#REF!</v>
      </c>
      <c r="W33" s="448"/>
      <c r="X33" s="381"/>
      <c r="Y33" s="381"/>
      <c r="Z33" s="381"/>
      <c r="AA33" s="381"/>
      <c r="AB33" s="381"/>
      <c r="AC33" s="381"/>
      <c r="AD33" s="381"/>
      <c r="AE33" s="381"/>
      <c r="AF33" s="381"/>
      <c r="AG33" s="381"/>
      <c r="AH33" s="381"/>
      <c r="AI33" s="381"/>
      <c r="AJ33" s="381"/>
      <c r="AK33" s="381"/>
      <c r="AL33" s="381"/>
      <c r="AM33" s="381"/>
      <c r="AN33" s="382"/>
      <c r="AO33" s="375" t="s">
        <v>159</v>
      </c>
      <c r="AP33" s="405">
        <f t="shared" ref="AP33:AU33" si="25">AP22-AP32</f>
        <v>669034.87000000011</v>
      </c>
      <c r="AQ33" s="405">
        <f t="shared" si="25"/>
        <v>746354.70000000007</v>
      </c>
      <c r="AR33" s="405">
        <f t="shared" si="25"/>
        <v>889783.15000000014</v>
      </c>
      <c r="AS33" s="449">
        <f t="shared" si="25"/>
        <v>2305073.1500000004</v>
      </c>
      <c r="AT33" s="450">
        <f t="shared" si="25"/>
        <v>3128550.0870000003</v>
      </c>
      <c r="AU33" s="451">
        <f t="shared" si="25"/>
        <v>3952027.0870000003</v>
      </c>
      <c r="AX33" s="385"/>
    </row>
    <row r="34" spans="1:51" ht="15.75" hidden="1" customHeight="1" x14ac:dyDescent="0.35">
      <c r="G34" s="452">
        <f>SUM(G26:G27)/G6</f>
        <v>0</v>
      </c>
      <c r="H34" s="452">
        <f>SUM(H26:H27)/H6</f>
        <v>0</v>
      </c>
      <c r="I34" s="452">
        <f>SUM(I26:I27)/I6</f>
        <v>0</v>
      </c>
      <c r="J34" s="452">
        <f>SUM(J26:J27)/J6</f>
        <v>0</v>
      </c>
      <c r="K34" s="453" t="e">
        <f t="shared" ref="K34:V34" si="26">+K15-K32</f>
        <v>#REF!</v>
      </c>
      <c r="L34" s="453" t="e">
        <f t="shared" si="26"/>
        <v>#REF!</v>
      </c>
      <c r="M34" s="453" t="e">
        <f t="shared" si="26"/>
        <v>#REF!</v>
      </c>
      <c r="N34" s="453" t="e">
        <f t="shared" si="26"/>
        <v>#REF!</v>
      </c>
      <c r="O34" s="453" t="e">
        <f t="shared" si="26"/>
        <v>#REF!</v>
      </c>
      <c r="P34" s="453" t="e">
        <f t="shared" si="26"/>
        <v>#REF!</v>
      </c>
      <c r="Q34" s="453" t="e">
        <f t="shared" si="26"/>
        <v>#REF!</v>
      </c>
      <c r="R34" s="453" t="e">
        <f t="shared" si="26"/>
        <v>#REF!</v>
      </c>
      <c r="S34" s="453" t="e">
        <f t="shared" si="26"/>
        <v>#REF!</v>
      </c>
      <c r="T34" s="453" t="e">
        <f t="shared" si="26"/>
        <v>#REF!</v>
      </c>
      <c r="U34" s="453" t="e">
        <f t="shared" si="26"/>
        <v>#REF!</v>
      </c>
      <c r="V34" s="453" t="e">
        <f t="shared" si="26"/>
        <v>#REF!</v>
      </c>
      <c r="W34" s="454"/>
      <c r="X34" s="3"/>
      <c r="Y34" s="3"/>
      <c r="Z34" s="3"/>
      <c r="AA34" s="3"/>
      <c r="AB34" s="3"/>
      <c r="AC34" s="3"/>
      <c r="AD34" s="3"/>
      <c r="AE34" s="3"/>
      <c r="AF34" s="3"/>
      <c r="AG34" s="3"/>
      <c r="AH34" s="3"/>
      <c r="AI34" s="3"/>
      <c r="AJ34" s="3"/>
      <c r="AK34" s="3"/>
      <c r="AL34" s="3"/>
      <c r="AM34" s="3"/>
    </row>
    <row r="35" spans="1:51" hidden="1" x14ac:dyDescent="0.35">
      <c r="A35" s="455" t="s">
        <v>161</v>
      </c>
      <c r="B35" s="455"/>
      <c r="C35" s="363">
        <v>20543269.25</v>
      </c>
      <c r="D35" s="363">
        <v>19421677.149999999</v>
      </c>
      <c r="E35" s="363">
        <v>22672981.050000001</v>
      </c>
      <c r="G35" s="17"/>
      <c r="H35" s="17"/>
      <c r="J35" s="14"/>
      <c r="K35" s="41"/>
      <c r="L35" s="41"/>
      <c r="M35" s="41"/>
      <c r="N35" s="41"/>
      <c r="O35" s="41"/>
      <c r="P35" s="41"/>
      <c r="Q35" s="41"/>
      <c r="R35" s="41"/>
      <c r="S35" s="41"/>
      <c r="T35" s="41"/>
      <c r="U35" s="41"/>
      <c r="V35" s="41"/>
      <c r="W35" s="41">
        <f>+W15-W33</f>
        <v>0</v>
      </c>
      <c r="X35" s="3"/>
      <c r="Y35" s="3"/>
      <c r="Z35" s="3"/>
      <c r="AA35" s="3"/>
      <c r="AB35" s="3"/>
      <c r="AC35" s="3"/>
      <c r="AD35" s="3"/>
      <c r="AE35" s="3"/>
      <c r="AF35" s="3"/>
      <c r="AG35" s="3"/>
      <c r="AH35" s="3"/>
      <c r="AI35" s="3"/>
      <c r="AJ35" s="3"/>
      <c r="AK35" s="3"/>
      <c r="AL35" s="3"/>
      <c r="AM35" s="3"/>
      <c r="AP35" s="393"/>
      <c r="AQ35" s="393"/>
      <c r="AR35" s="393"/>
      <c r="AS35" s="456"/>
      <c r="AT35" s="457"/>
      <c r="AU35" s="457"/>
      <c r="AV35" s="457"/>
      <c r="AW35" s="457"/>
      <c r="AX35" s="457"/>
      <c r="AY35" s="457"/>
    </row>
    <row r="36" spans="1:51" hidden="1" x14ac:dyDescent="0.35">
      <c r="A36" s="458" t="s">
        <v>195</v>
      </c>
      <c r="B36" s="458"/>
      <c r="C36" s="459">
        <f>C35-C20</f>
        <v>-813683.37000000477</v>
      </c>
      <c r="D36" s="459">
        <f>D35-D20</f>
        <v>-6117685.5800000057</v>
      </c>
      <c r="E36" s="459">
        <f>E35-E20</f>
        <v>-6598692.950000003</v>
      </c>
      <c r="G36" s="17"/>
      <c r="H36" s="460"/>
      <c r="L36" s="461"/>
      <c r="M36" s="461"/>
      <c r="X36" s="3"/>
      <c r="Y36" s="3"/>
      <c r="Z36" s="3"/>
      <c r="AA36" s="3"/>
      <c r="AB36" s="3"/>
      <c r="AC36" s="3"/>
      <c r="AD36" s="3"/>
      <c r="AE36" s="3"/>
      <c r="AF36" s="3"/>
      <c r="AG36" s="3"/>
      <c r="AH36" s="3"/>
      <c r="AI36" s="3"/>
      <c r="AJ36" s="3"/>
      <c r="AK36" s="3"/>
      <c r="AL36" s="3"/>
      <c r="AM36" s="3"/>
      <c r="AS36" s="462"/>
      <c r="AT36" s="463"/>
      <c r="AU36" s="463"/>
      <c r="AV36" s="463"/>
      <c r="AW36" s="463"/>
      <c r="AX36" s="463"/>
      <c r="AY36" s="463"/>
    </row>
    <row r="37" spans="1:51" hidden="1" x14ac:dyDescent="0.35">
      <c r="A37" s="458" t="s">
        <v>196</v>
      </c>
      <c r="B37" s="458"/>
      <c r="C37" s="458"/>
      <c r="D37" s="458"/>
      <c r="G37" s="17"/>
      <c r="H37" s="460"/>
      <c r="X37" s="3"/>
      <c r="Y37" s="3"/>
      <c r="Z37" s="3"/>
      <c r="AA37" s="3"/>
      <c r="AB37" s="3"/>
      <c r="AC37" s="3"/>
      <c r="AD37" s="3"/>
      <c r="AE37" s="3"/>
      <c r="AF37" s="3"/>
      <c r="AG37" s="3"/>
      <c r="AH37" s="3"/>
      <c r="AI37" s="3"/>
      <c r="AJ37" s="3"/>
      <c r="AK37" s="3"/>
      <c r="AL37" s="3"/>
      <c r="AM37" s="3"/>
      <c r="AS37" s="462"/>
      <c r="AT37" s="463"/>
      <c r="AU37" s="463"/>
      <c r="AV37" s="463"/>
      <c r="AW37" s="463"/>
      <c r="AX37" s="463"/>
      <c r="AY37" s="463"/>
    </row>
    <row r="38" spans="1:51" hidden="1" x14ac:dyDescent="0.35">
      <c r="A38" s="458" t="s">
        <v>162</v>
      </c>
      <c r="G38" s="17"/>
      <c r="H38" s="17"/>
      <c r="X38" s="3"/>
      <c r="Y38" s="3"/>
      <c r="Z38" s="3"/>
      <c r="AA38" s="3"/>
      <c r="AB38" s="3"/>
      <c r="AC38" s="3"/>
      <c r="AD38" s="3"/>
      <c r="AE38" s="3"/>
      <c r="AF38" s="3"/>
      <c r="AG38" s="3"/>
      <c r="AH38" s="3"/>
      <c r="AI38" s="3"/>
      <c r="AJ38" s="3"/>
      <c r="AK38" s="3"/>
      <c r="AL38" s="3"/>
      <c r="AM38" s="3"/>
      <c r="AS38" s="462"/>
      <c r="AT38" s="463"/>
      <c r="AU38" s="463"/>
      <c r="AV38" s="463"/>
      <c r="AW38" s="463"/>
      <c r="AX38" s="463"/>
      <c r="AY38" s="463"/>
    </row>
    <row r="39" spans="1:51" hidden="1" x14ac:dyDescent="0.35">
      <c r="A39" s="458" t="s">
        <v>163</v>
      </c>
      <c r="G39" s="17"/>
      <c r="H39" s="17"/>
      <c r="X39" s="3"/>
      <c r="Y39" s="3"/>
      <c r="Z39" s="3"/>
      <c r="AA39" s="3"/>
      <c r="AB39" s="3"/>
      <c r="AC39" s="3"/>
      <c r="AD39" s="3"/>
      <c r="AE39" s="3"/>
      <c r="AF39" s="3"/>
      <c r="AG39" s="3"/>
      <c r="AH39" s="3"/>
      <c r="AI39" s="3"/>
      <c r="AJ39" s="3"/>
      <c r="AK39" s="3"/>
      <c r="AL39" s="3"/>
      <c r="AM39" s="3"/>
      <c r="AS39" s="462"/>
      <c r="AT39" s="463"/>
      <c r="AU39" s="463"/>
      <c r="AV39" s="463"/>
      <c r="AW39" s="463"/>
      <c r="AX39" s="463"/>
      <c r="AY39" s="463"/>
    </row>
    <row r="40" spans="1:51" hidden="1" x14ac:dyDescent="0.35">
      <c r="A40" s="458" t="s">
        <v>164</v>
      </c>
      <c r="G40" s="17"/>
      <c r="H40" s="17"/>
      <c r="X40" s="3"/>
      <c r="Y40" s="3"/>
      <c r="Z40" s="3"/>
      <c r="AA40" s="3"/>
      <c r="AB40" s="3"/>
      <c r="AC40" s="3"/>
      <c r="AD40" s="3"/>
      <c r="AE40" s="3"/>
      <c r="AF40" s="3"/>
      <c r="AG40" s="3"/>
      <c r="AH40" s="3"/>
      <c r="AI40" s="3"/>
      <c r="AJ40" s="3"/>
      <c r="AK40" s="3"/>
      <c r="AL40" s="3"/>
      <c r="AM40" s="3"/>
      <c r="AS40" s="462"/>
      <c r="AT40" s="463"/>
      <c r="AU40" s="463"/>
      <c r="AV40" s="463"/>
      <c r="AW40" s="463"/>
      <c r="AX40" s="463"/>
      <c r="AY40" s="463"/>
    </row>
    <row r="41" spans="1:51" hidden="1" x14ac:dyDescent="0.35">
      <c r="A41" s="458" t="s">
        <v>198</v>
      </c>
      <c r="G41" s="17"/>
      <c r="H41" s="17"/>
      <c r="X41" s="3"/>
      <c r="Y41" s="3"/>
      <c r="Z41" s="3"/>
      <c r="AA41" s="3"/>
      <c r="AB41" s="3"/>
      <c r="AC41" s="3"/>
      <c r="AD41" s="3"/>
      <c r="AE41" s="3"/>
      <c r="AF41" s="3"/>
      <c r="AG41" s="3"/>
      <c r="AH41" s="3"/>
      <c r="AI41" s="3"/>
      <c r="AJ41" s="3"/>
      <c r="AK41" s="3"/>
      <c r="AL41" s="3"/>
      <c r="AM41" s="3"/>
      <c r="AS41" s="462"/>
      <c r="AT41" s="463"/>
      <c r="AU41" s="463"/>
      <c r="AV41" s="463"/>
      <c r="AW41" s="463"/>
      <c r="AX41" s="463"/>
      <c r="AY41" s="463"/>
    </row>
    <row r="42" spans="1:51" hidden="1" x14ac:dyDescent="0.35">
      <c r="A42" s="455" t="s">
        <v>165</v>
      </c>
      <c r="G42" s="17"/>
      <c r="H42" s="17"/>
      <c r="X42" s="3"/>
      <c r="Y42" s="3"/>
      <c r="Z42" s="3"/>
      <c r="AA42" s="3"/>
      <c r="AB42" s="3"/>
      <c r="AC42" s="3"/>
      <c r="AD42" s="3"/>
      <c r="AE42" s="3"/>
      <c r="AF42" s="3"/>
      <c r="AG42" s="3"/>
      <c r="AH42" s="3"/>
      <c r="AI42" s="3"/>
      <c r="AJ42" s="3"/>
      <c r="AK42" s="3"/>
      <c r="AL42" s="3"/>
      <c r="AM42" s="3"/>
      <c r="AS42" s="462"/>
      <c r="AT42" s="463"/>
      <c r="AU42" s="463"/>
      <c r="AV42" s="463"/>
      <c r="AW42" s="463"/>
      <c r="AX42" s="463"/>
      <c r="AY42" s="463"/>
    </row>
    <row r="43" spans="1:51" hidden="1" x14ac:dyDescent="0.35">
      <c r="A43" s="458" t="s">
        <v>166</v>
      </c>
      <c r="B43" s="458"/>
      <c r="C43" s="458"/>
      <c r="D43" s="458"/>
      <c r="E43"/>
      <c r="F43"/>
      <c r="X43" s="3"/>
      <c r="Y43" s="3"/>
      <c r="Z43" s="3"/>
      <c r="AA43" s="3"/>
      <c r="AB43" s="3"/>
      <c r="AC43" s="3"/>
      <c r="AD43" s="3"/>
      <c r="AE43" s="3"/>
      <c r="AF43" s="3"/>
      <c r="AG43" s="3"/>
      <c r="AH43" s="3"/>
      <c r="AI43" s="3"/>
      <c r="AJ43" s="3"/>
      <c r="AK43" s="3"/>
      <c r="AL43" s="3"/>
      <c r="AM43" s="3"/>
      <c r="AS43" s="464"/>
      <c r="AT43" s="465"/>
      <c r="AU43" s="465"/>
      <c r="AV43" s="465"/>
      <c r="AW43" s="465"/>
      <c r="AX43" s="465"/>
      <c r="AY43" s="465"/>
    </row>
    <row r="44" spans="1:51" hidden="1" x14ac:dyDescent="0.35">
      <c r="A44" s="458" t="s">
        <v>167</v>
      </c>
      <c r="B44" s="458"/>
      <c r="C44" s="458"/>
      <c r="D44" s="458"/>
      <c r="E44"/>
      <c r="F44"/>
      <c r="X44" s="3"/>
      <c r="Y44" s="3"/>
      <c r="Z44" s="3"/>
      <c r="AA44" s="3"/>
      <c r="AB44" s="3"/>
      <c r="AC44" s="3"/>
      <c r="AD44" s="3"/>
      <c r="AE44" s="3"/>
      <c r="AF44" s="3"/>
      <c r="AG44" s="3"/>
      <c r="AH44" s="3"/>
      <c r="AI44" s="3"/>
      <c r="AJ44" s="3"/>
      <c r="AK44" s="3"/>
      <c r="AL44" s="3"/>
      <c r="AM44" s="3"/>
      <c r="AS44" s="464"/>
      <c r="AT44" s="465"/>
      <c r="AU44" s="465"/>
      <c r="AV44" s="465"/>
      <c r="AW44" s="465"/>
      <c r="AX44" s="465"/>
      <c r="AY44" s="465"/>
    </row>
    <row r="45" spans="1:51" hidden="1" x14ac:dyDescent="0.35">
      <c r="A45" s="458" t="s">
        <v>197</v>
      </c>
      <c r="G45" s="17"/>
      <c r="H45" s="17"/>
      <c r="X45" s="3"/>
      <c r="Y45" s="3"/>
      <c r="Z45" s="3"/>
      <c r="AA45" s="3"/>
      <c r="AB45" s="3"/>
      <c r="AC45" s="3"/>
      <c r="AD45" s="3"/>
      <c r="AE45" s="3"/>
      <c r="AF45" s="3"/>
      <c r="AG45" s="3"/>
      <c r="AH45" s="3"/>
      <c r="AI45" s="3"/>
      <c r="AJ45" s="3"/>
      <c r="AK45" s="3"/>
      <c r="AL45" s="3"/>
      <c r="AM45" s="3"/>
      <c r="AS45" s="462"/>
      <c r="AT45" s="463"/>
      <c r="AU45" s="463"/>
      <c r="AV45" s="463"/>
      <c r="AW45" s="463"/>
      <c r="AX45" s="463"/>
      <c r="AY45" s="463"/>
    </row>
    <row r="46" spans="1:51" x14ac:dyDescent="0.35">
      <c r="A46" s="466" t="s">
        <v>304</v>
      </c>
      <c r="B46" s="466"/>
      <c r="C46" s="466"/>
      <c r="D46" s="466"/>
      <c r="E46" s="467"/>
      <c r="F46" s="467"/>
      <c r="G46" s="467"/>
      <c r="H46" s="467"/>
      <c r="I46" s="468"/>
      <c r="J46" s="468"/>
      <c r="K46" s="469">
        <v>833333</v>
      </c>
      <c r="L46" s="469">
        <f>2500000/3</f>
        <v>833333.33333333337</v>
      </c>
      <c r="M46" s="469">
        <f>+L46</f>
        <v>833333.33333333337</v>
      </c>
      <c r="N46" s="469">
        <f t="shared" ref="N46:V47" si="27">+M46</f>
        <v>833333.33333333337</v>
      </c>
      <c r="O46" s="469">
        <f t="shared" si="27"/>
        <v>833333.33333333337</v>
      </c>
      <c r="P46" s="469">
        <f t="shared" si="27"/>
        <v>833333.33333333337</v>
      </c>
      <c r="Q46" s="469">
        <f t="shared" si="27"/>
        <v>833333.33333333337</v>
      </c>
      <c r="R46" s="469">
        <f t="shared" si="27"/>
        <v>833333.33333333337</v>
      </c>
      <c r="S46" s="469">
        <f t="shared" si="27"/>
        <v>833333.33333333337</v>
      </c>
      <c r="T46" s="469">
        <f t="shared" si="27"/>
        <v>833333.33333333337</v>
      </c>
      <c r="U46" s="469">
        <f t="shared" si="27"/>
        <v>833333.33333333337</v>
      </c>
      <c r="V46" s="469">
        <f t="shared" si="27"/>
        <v>833333.33333333337</v>
      </c>
      <c r="W46" s="461"/>
      <c r="X46" s="461"/>
      <c r="Y46" s="461"/>
      <c r="Z46" s="461"/>
      <c r="AA46" s="461"/>
      <c r="AB46" s="461"/>
      <c r="AC46" s="461"/>
      <c r="AD46" s="461"/>
      <c r="AE46" s="461"/>
      <c r="AF46" s="461"/>
      <c r="AG46" s="461"/>
      <c r="AH46" s="461"/>
      <c r="AI46" s="3"/>
      <c r="AJ46" s="3"/>
      <c r="AK46" s="3"/>
      <c r="AL46" s="3"/>
      <c r="AM46" s="3"/>
      <c r="AS46" s="462"/>
      <c r="AT46" s="463"/>
      <c r="AU46" s="463"/>
      <c r="AV46" s="463"/>
      <c r="AW46" s="463"/>
      <c r="AX46" s="463"/>
      <c r="AY46" s="463"/>
    </row>
    <row r="47" spans="1:51" x14ac:dyDescent="0.35">
      <c r="A47" s="466" t="s">
        <v>305</v>
      </c>
      <c r="B47" s="466"/>
      <c r="C47" s="466"/>
      <c r="D47" s="466"/>
      <c r="E47" s="467"/>
      <c r="F47" s="467"/>
      <c r="G47" s="467"/>
      <c r="H47" s="467"/>
      <c r="I47" s="468"/>
      <c r="J47" s="468"/>
      <c r="K47" s="44">
        <v>666667</v>
      </c>
      <c r="L47" s="43">
        <v>1000000</v>
      </c>
      <c r="M47" s="43">
        <v>750000</v>
      </c>
      <c r="N47" s="469">
        <v>500000</v>
      </c>
      <c r="O47" s="469">
        <v>1500000</v>
      </c>
      <c r="P47" s="469">
        <v>2000000</v>
      </c>
      <c r="Q47" s="469">
        <f t="shared" si="27"/>
        <v>2000000</v>
      </c>
      <c r="R47" s="469">
        <f t="shared" si="27"/>
        <v>2000000</v>
      </c>
      <c r="S47" s="469">
        <f t="shared" si="27"/>
        <v>2000000</v>
      </c>
      <c r="T47" s="469">
        <f t="shared" si="27"/>
        <v>2000000</v>
      </c>
      <c r="U47" s="469">
        <f t="shared" si="27"/>
        <v>2000000</v>
      </c>
      <c r="V47" s="469">
        <f t="shared" si="27"/>
        <v>2000000</v>
      </c>
      <c r="X47" s="3"/>
      <c r="Y47" s="3"/>
      <c r="Z47" s="3"/>
      <c r="AA47" s="3"/>
      <c r="AB47" s="3"/>
      <c r="AC47" s="3"/>
      <c r="AD47" s="3"/>
      <c r="AE47" s="3"/>
      <c r="AF47" s="3"/>
      <c r="AG47" s="3"/>
      <c r="AH47" s="3"/>
      <c r="AI47" s="3"/>
      <c r="AJ47" s="3"/>
      <c r="AK47" s="3"/>
      <c r="AL47" s="3"/>
      <c r="AM47" s="3"/>
      <c r="AS47" s="462"/>
      <c r="AT47" s="463"/>
      <c r="AU47" s="463"/>
      <c r="AV47" s="463"/>
      <c r="AW47" s="463"/>
      <c r="AX47" s="463"/>
      <c r="AY47" s="463"/>
    </row>
    <row r="48" spans="1:51" s="17" customFormat="1" x14ac:dyDescent="0.35">
      <c r="A48" s="466" t="s">
        <v>303</v>
      </c>
      <c r="B48" s="466"/>
      <c r="C48" s="466"/>
      <c r="D48" s="466"/>
      <c r="E48" s="467"/>
      <c r="F48" s="467"/>
      <c r="G48" s="467"/>
      <c r="H48" s="467"/>
      <c r="I48" s="467"/>
      <c r="J48" s="467"/>
      <c r="K48" s="470"/>
      <c r="L48" s="470"/>
      <c r="M48" s="471">
        <f>+M32-M46-M47</f>
        <v>3207358.2781632622</v>
      </c>
      <c r="N48" s="471">
        <f t="shared" ref="N48:V48" si="28">+N32-N46-N47</f>
        <v>5053214.1870784247</v>
      </c>
      <c r="O48" s="471" t="e">
        <f t="shared" si="28"/>
        <v>#REF!</v>
      </c>
      <c r="P48" s="471" t="e">
        <f t="shared" si="28"/>
        <v>#REF!</v>
      </c>
      <c r="Q48" s="471" t="e">
        <f t="shared" si="28"/>
        <v>#REF!</v>
      </c>
      <c r="R48" s="471" t="e">
        <f t="shared" si="28"/>
        <v>#REF!</v>
      </c>
      <c r="S48" s="471" t="e">
        <f t="shared" si="28"/>
        <v>#REF!</v>
      </c>
      <c r="T48" s="471" t="e">
        <f t="shared" si="28"/>
        <v>#REF!</v>
      </c>
      <c r="U48" s="471" t="e">
        <f t="shared" si="28"/>
        <v>#REF!</v>
      </c>
      <c r="V48" s="471" t="e">
        <f t="shared" si="28"/>
        <v>#REF!</v>
      </c>
      <c r="W48" s="472"/>
      <c r="X48" s="472"/>
      <c r="Y48" s="472"/>
      <c r="Z48" s="472"/>
      <c r="AA48" s="472"/>
      <c r="AB48" s="472"/>
      <c r="AC48" s="472"/>
      <c r="AD48" s="472"/>
      <c r="AE48" s="472"/>
      <c r="AF48" s="472"/>
      <c r="AG48" s="472"/>
      <c r="AH48" s="472"/>
      <c r="AI48" s="472"/>
      <c r="AJ48" s="472"/>
      <c r="AK48" s="472"/>
      <c r="AL48" s="472"/>
      <c r="AM48" s="472"/>
      <c r="AO48" s="473"/>
      <c r="AP48" s="473"/>
      <c r="AQ48" s="473"/>
      <c r="AR48" s="473"/>
      <c r="AS48" s="462"/>
      <c r="AT48" s="463"/>
      <c r="AU48" s="463"/>
      <c r="AV48" s="463"/>
      <c r="AW48" s="463"/>
      <c r="AX48" s="463"/>
      <c r="AY48" s="463"/>
    </row>
    <row r="49" spans="1:51" x14ac:dyDescent="0.35">
      <c r="A49" s="474" t="s">
        <v>349</v>
      </c>
      <c r="G49" s="17"/>
      <c r="H49" s="17"/>
      <c r="P49" s="475" t="e">
        <f>P16/P33</f>
        <v>#REF!</v>
      </c>
      <c r="Q49" s="475" t="e">
        <f t="shared" ref="Q49:V49" si="29">Q16/Q33</f>
        <v>#REF!</v>
      </c>
      <c r="R49" s="475" t="e">
        <f t="shared" si="29"/>
        <v>#REF!</v>
      </c>
      <c r="S49" s="475" t="e">
        <f t="shared" si="29"/>
        <v>#REF!</v>
      </c>
      <c r="T49" s="475" t="e">
        <f t="shared" si="29"/>
        <v>#REF!</v>
      </c>
      <c r="U49" s="475" t="e">
        <f t="shared" si="29"/>
        <v>#REF!</v>
      </c>
      <c r="V49" s="475" t="e">
        <f t="shared" si="29"/>
        <v>#REF!</v>
      </c>
      <c r="X49" s="3"/>
      <c r="Y49" s="3"/>
      <c r="Z49" s="3"/>
      <c r="AA49" s="3"/>
      <c r="AB49" s="3"/>
      <c r="AC49" s="3"/>
      <c r="AD49" s="3"/>
      <c r="AE49" s="3"/>
      <c r="AF49" s="3"/>
      <c r="AG49" s="3"/>
      <c r="AH49" s="3"/>
      <c r="AI49" s="3"/>
      <c r="AJ49" s="3"/>
      <c r="AK49" s="3"/>
      <c r="AL49" s="3"/>
      <c r="AM49" s="3"/>
      <c r="AS49" s="462"/>
      <c r="AT49" s="463"/>
      <c r="AU49" s="463"/>
      <c r="AV49" s="463"/>
      <c r="AW49" s="463"/>
      <c r="AX49" s="463"/>
      <c r="AY49" s="463"/>
    </row>
    <row r="50" spans="1:51" x14ac:dyDescent="0.35">
      <c r="G50" s="17"/>
      <c r="H50" s="17"/>
      <c r="X50" s="3"/>
      <c r="Y50" s="3"/>
      <c r="Z50" s="3"/>
      <c r="AA50" s="3"/>
      <c r="AB50" s="3"/>
      <c r="AC50" s="3"/>
      <c r="AD50" s="3"/>
      <c r="AE50" s="3"/>
      <c r="AF50" s="3"/>
      <c r="AG50" s="3"/>
      <c r="AH50" s="3"/>
      <c r="AI50" s="3"/>
      <c r="AJ50" s="3"/>
      <c r="AK50" s="3"/>
      <c r="AL50" s="3"/>
      <c r="AM50" s="3"/>
    </row>
    <row r="51" spans="1:51" x14ac:dyDescent="0.35">
      <c r="G51" s="17"/>
      <c r="H51" s="17"/>
      <c r="X51" s="3"/>
      <c r="Y51" s="3"/>
      <c r="Z51" s="3"/>
      <c r="AA51" s="3"/>
      <c r="AB51" s="3"/>
      <c r="AC51" s="3"/>
      <c r="AD51" s="3"/>
      <c r="AE51" s="3"/>
      <c r="AF51" s="3"/>
      <c r="AG51" s="3"/>
      <c r="AH51" s="3"/>
      <c r="AI51" s="3"/>
      <c r="AJ51" s="3"/>
      <c r="AK51" s="3"/>
      <c r="AL51" s="3"/>
      <c r="AM51" s="3"/>
    </row>
    <row r="52" spans="1:51" x14ac:dyDescent="0.35">
      <c r="G52" s="17"/>
      <c r="H52" s="17"/>
      <c r="X52" s="3"/>
      <c r="Y52" s="3"/>
      <c r="Z52" s="3"/>
      <c r="AA52" s="3"/>
      <c r="AB52" s="3"/>
      <c r="AC52" s="3"/>
      <c r="AD52" s="3"/>
      <c r="AE52" s="3"/>
      <c r="AF52" s="3"/>
      <c r="AG52" s="3"/>
      <c r="AH52" s="3"/>
      <c r="AI52" s="3"/>
      <c r="AJ52" s="3"/>
      <c r="AK52" s="3"/>
      <c r="AL52" s="3"/>
      <c r="AM52" s="3"/>
    </row>
    <row r="53" spans="1:51" x14ac:dyDescent="0.35">
      <c r="G53" s="17"/>
      <c r="H53" s="17"/>
      <c r="X53" s="3"/>
      <c r="Y53" s="3"/>
      <c r="Z53" s="3"/>
      <c r="AA53" s="3"/>
      <c r="AB53" s="3"/>
      <c r="AC53" s="3"/>
      <c r="AD53" s="3"/>
      <c r="AE53" s="3"/>
      <c r="AF53" s="3"/>
      <c r="AG53" s="3"/>
      <c r="AH53" s="3"/>
      <c r="AI53" s="3"/>
      <c r="AJ53" s="3"/>
      <c r="AK53" s="3"/>
      <c r="AL53" s="3"/>
      <c r="AM53" s="3"/>
    </row>
    <row r="54" spans="1:51" x14ac:dyDescent="0.35">
      <c r="G54" s="17"/>
      <c r="H54" s="17"/>
      <c r="X54" s="3"/>
      <c r="Y54" s="3"/>
      <c r="Z54" s="3"/>
      <c r="AA54" s="3"/>
      <c r="AB54" s="3"/>
      <c r="AC54" s="3"/>
      <c r="AD54" s="3"/>
      <c r="AE54" s="3"/>
      <c r="AF54" s="3"/>
      <c r="AG54" s="3"/>
      <c r="AH54" s="3"/>
      <c r="AI54" s="3"/>
      <c r="AJ54" s="3"/>
      <c r="AK54" s="3"/>
      <c r="AL54" s="3"/>
      <c r="AM54" s="3"/>
    </row>
    <row r="55" spans="1:51" x14ac:dyDescent="0.35">
      <c r="G55" s="17"/>
      <c r="H55" s="17"/>
      <c r="X55" s="3"/>
      <c r="Y55" s="3"/>
      <c r="Z55" s="3"/>
      <c r="AA55" s="3"/>
      <c r="AB55" s="3"/>
      <c r="AC55" s="3"/>
      <c r="AD55" s="3"/>
      <c r="AE55" s="3"/>
      <c r="AF55" s="3"/>
      <c r="AG55" s="3"/>
      <c r="AH55" s="3"/>
      <c r="AI55" s="3"/>
      <c r="AJ55" s="3"/>
      <c r="AK55" s="3"/>
      <c r="AL55" s="3"/>
      <c r="AM55" s="3"/>
    </row>
    <row r="56" spans="1:51" x14ac:dyDescent="0.35">
      <c r="G56" s="17"/>
      <c r="H56" s="17"/>
      <c r="X56" s="3"/>
      <c r="Y56" s="3"/>
      <c r="Z56" s="3"/>
      <c r="AA56" s="3"/>
      <c r="AB56" s="3"/>
      <c r="AC56" s="3"/>
      <c r="AD56" s="3"/>
      <c r="AE56" s="3"/>
      <c r="AF56" s="3"/>
      <c r="AG56" s="3"/>
      <c r="AH56" s="3"/>
      <c r="AI56" s="3"/>
      <c r="AJ56" s="3"/>
      <c r="AK56" s="3"/>
      <c r="AL56" s="3"/>
      <c r="AM56" s="3"/>
    </row>
    <row r="57" spans="1:51" x14ac:dyDescent="0.35">
      <c r="G57" s="17"/>
      <c r="H57" s="17"/>
      <c r="X57" s="3"/>
      <c r="Y57" s="3"/>
      <c r="Z57" s="3"/>
      <c r="AA57" s="3"/>
      <c r="AB57" s="3"/>
      <c r="AC57" s="3"/>
      <c r="AD57" s="3"/>
      <c r="AE57" s="3"/>
      <c r="AF57" s="3"/>
      <c r="AG57" s="3"/>
      <c r="AH57" s="3"/>
      <c r="AI57" s="3"/>
      <c r="AJ57" s="3"/>
      <c r="AK57" s="3"/>
      <c r="AL57" s="3"/>
      <c r="AM57" s="3"/>
    </row>
    <row r="58" spans="1:51" x14ac:dyDescent="0.35">
      <c r="G58" s="17"/>
      <c r="H58" s="17"/>
      <c r="X58" s="3"/>
      <c r="Y58" s="3"/>
      <c r="Z58" s="3"/>
      <c r="AA58" s="3"/>
      <c r="AB58" s="3"/>
      <c r="AC58" s="3"/>
      <c r="AD58" s="3"/>
      <c r="AE58" s="3"/>
      <c r="AF58" s="3"/>
      <c r="AG58" s="3"/>
      <c r="AH58" s="3"/>
      <c r="AI58" s="3"/>
      <c r="AJ58" s="3"/>
      <c r="AK58" s="3"/>
      <c r="AL58" s="3"/>
      <c r="AM58" s="3"/>
    </row>
    <row r="59" spans="1:51" x14ac:dyDescent="0.35">
      <c r="G59" s="17"/>
      <c r="H59" s="17"/>
      <c r="X59" s="3"/>
      <c r="Y59" s="3"/>
      <c r="Z59" s="3"/>
      <c r="AA59" s="3"/>
      <c r="AB59" s="3"/>
      <c r="AC59" s="3"/>
      <c r="AD59" s="3"/>
      <c r="AE59" s="3"/>
      <c r="AF59" s="3"/>
      <c r="AG59" s="3"/>
      <c r="AH59" s="3"/>
      <c r="AI59" s="3"/>
      <c r="AJ59" s="3"/>
      <c r="AK59" s="3"/>
      <c r="AL59" s="3"/>
      <c r="AM59" s="3"/>
    </row>
    <row r="60" spans="1:51" x14ac:dyDescent="0.35">
      <c r="G60" s="17"/>
      <c r="H60" s="17"/>
      <c r="X60" s="3"/>
      <c r="Y60" s="3"/>
      <c r="Z60" s="3"/>
      <c r="AA60" s="3"/>
      <c r="AB60" s="3"/>
      <c r="AC60" s="3"/>
      <c r="AD60" s="3"/>
      <c r="AE60" s="3"/>
      <c r="AF60" s="3"/>
      <c r="AG60" s="3"/>
      <c r="AH60" s="3"/>
      <c r="AI60" s="3"/>
      <c r="AJ60" s="3"/>
      <c r="AK60" s="3"/>
      <c r="AL60" s="3"/>
      <c r="AM60" s="3"/>
    </row>
    <row r="61" spans="1:51" x14ac:dyDescent="0.35">
      <c r="G61" s="17"/>
      <c r="H61" s="17"/>
      <c r="X61" s="3"/>
      <c r="Y61" s="3"/>
      <c r="Z61" s="3"/>
      <c r="AA61" s="3"/>
      <c r="AB61" s="3"/>
      <c r="AC61" s="3"/>
      <c r="AD61" s="3"/>
      <c r="AE61" s="3"/>
      <c r="AF61" s="3"/>
      <c r="AG61" s="3"/>
      <c r="AH61" s="3"/>
      <c r="AI61" s="3"/>
      <c r="AJ61" s="3"/>
      <c r="AK61" s="3"/>
      <c r="AL61" s="3"/>
      <c r="AM61" s="3"/>
    </row>
    <row r="62" spans="1:51" x14ac:dyDescent="0.35">
      <c r="G62" s="17"/>
      <c r="H62" s="17"/>
      <c r="X62" s="3"/>
      <c r="Y62" s="3"/>
      <c r="Z62" s="3"/>
      <c r="AA62" s="3"/>
      <c r="AB62" s="3"/>
      <c r="AC62" s="3"/>
      <c r="AD62" s="3"/>
      <c r="AE62" s="3"/>
      <c r="AF62" s="3"/>
      <c r="AG62" s="3"/>
      <c r="AH62" s="3"/>
      <c r="AI62" s="3"/>
      <c r="AJ62" s="3"/>
      <c r="AK62" s="3"/>
      <c r="AL62" s="3"/>
      <c r="AM62" s="3"/>
    </row>
    <row r="63" spans="1:51" x14ac:dyDescent="0.35">
      <c r="G63" s="17"/>
      <c r="H63" s="17"/>
      <c r="X63" s="3"/>
      <c r="Y63" s="3"/>
      <c r="Z63" s="3"/>
      <c r="AA63" s="3"/>
      <c r="AB63" s="3"/>
      <c r="AC63" s="3"/>
      <c r="AD63" s="3"/>
      <c r="AE63" s="3"/>
      <c r="AF63" s="3"/>
      <c r="AG63" s="3"/>
      <c r="AH63" s="3"/>
      <c r="AI63" s="3"/>
      <c r="AJ63" s="3"/>
      <c r="AK63" s="3"/>
      <c r="AL63" s="3"/>
      <c r="AM63" s="3"/>
    </row>
    <row r="64" spans="1:51" x14ac:dyDescent="0.35">
      <c r="G64" s="17"/>
      <c r="H64" s="17"/>
      <c r="X64" s="3"/>
      <c r="Y64" s="3"/>
      <c r="Z64" s="3"/>
      <c r="AA64" s="3"/>
      <c r="AB64" s="3"/>
      <c r="AC64" s="3"/>
      <c r="AD64" s="3"/>
      <c r="AE64" s="3"/>
      <c r="AF64" s="3"/>
      <c r="AG64" s="3"/>
      <c r="AH64" s="3"/>
      <c r="AI64" s="3"/>
      <c r="AJ64" s="3"/>
      <c r="AK64" s="3"/>
      <c r="AL64" s="3"/>
      <c r="AM64" s="3"/>
    </row>
    <row r="65" spans="7:39" x14ac:dyDescent="0.35">
      <c r="G65" s="17"/>
      <c r="H65" s="17"/>
      <c r="X65" s="3"/>
      <c r="Y65" s="3"/>
      <c r="Z65" s="3"/>
      <c r="AA65" s="3"/>
      <c r="AB65" s="3"/>
      <c r="AC65" s="3"/>
      <c r="AD65" s="3"/>
      <c r="AE65" s="3"/>
      <c r="AF65" s="3"/>
      <c r="AG65" s="3"/>
      <c r="AH65" s="3"/>
      <c r="AI65" s="3"/>
      <c r="AJ65" s="3"/>
      <c r="AK65" s="3"/>
      <c r="AL65" s="3"/>
      <c r="AM65" s="3"/>
    </row>
    <row r="66" spans="7:39" x14ac:dyDescent="0.35">
      <c r="G66" s="17"/>
      <c r="H66" s="17"/>
      <c r="X66" s="3"/>
      <c r="Y66" s="3"/>
      <c r="Z66" s="3"/>
      <c r="AA66" s="3"/>
      <c r="AB66" s="3"/>
      <c r="AC66" s="3"/>
      <c r="AD66" s="3"/>
      <c r="AE66" s="3"/>
      <c r="AF66" s="3"/>
      <c r="AG66" s="3"/>
      <c r="AH66" s="3"/>
      <c r="AI66" s="3"/>
      <c r="AJ66" s="3"/>
      <c r="AK66" s="3"/>
      <c r="AL66" s="3"/>
      <c r="AM66" s="3"/>
    </row>
    <row r="67" spans="7:39" x14ac:dyDescent="0.35">
      <c r="G67" s="17"/>
      <c r="H67" s="17"/>
      <c r="X67" s="3"/>
      <c r="Y67" s="3"/>
      <c r="Z67" s="3"/>
      <c r="AA67" s="3"/>
      <c r="AB67" s="3"/>
      <c r="AC67" s="3"/>
      <c r="AD67" s="3"/>
      <c r="AE67" s="3"/>
      <c r="AF67" s="3"/>
      <c r="AG67" s="3"/>
      <c r="AH67" s="3"/>
      <c r="AI67" s="3"/>
      <c r="AJ67" s="3"/>
      <c r="AK67" s="3"/>
      <c r="AL67" s="3"/>
      <c r="AM67" s="3"/>
    </row>
    <row r="68" spans="7:39" x14ac:dyDescent="0.35">
      <c r="X68" s="3"/>
      <c r="Y68" s="3"/>
      <c r="Z68" s="3"/>
      <c r="AA68" s="3"/>
      <c r="AB68" s="3"/>
      <c r="AC68" s="3"/>
      <c r="AD68" s="3"/>
      <c r="AE68" s="3"/>
      <c r="AF68" s="3"/>
      <c r="AG68" s="3"/>
      <c r="AH68" s="3"/>
      <c r="AI68" s="3"/>
      <c r="AJ68" s="3"/>
      <c r="AK68" s="3"/>
      <c r="AL68" s="3"/>
      <c r="AM68" s="3"/>
    </row>
    <row r="69" spans="7:39" x14ac:dyDescent="0.35">
      <c r="X69" s="3"/>
      <c r="Y69" s="3"/>
      <c r="Z69" s="3"/>
      <c r="AA69" s="3"/>
      <c r="AB69" s="3"/>
      <c r="AC69" s="3"/>
      <c r="AD69" s="3"/>
      <c r="AE69" s="3"/>
      <c r="AF69" s="3"/>
      <c r="AG69" s="3"/>
      <c r="AH69" s="3"/>
      <c r="AI69" s="3"/>
      <c r="AJ69" s="3"/>
      <c r="AK69" s="3"/>
      <c r="AL69" s="3"/>
      <c r="AM69" s="3"/>
    </row>
    <row r="70" spans="7:39" x14ac:dyDescent="0.35">
      <c r="X70" s="3"/>
      <c r="Y70" s="3"/>
      <c r="Z70" s="3"/>
      <c r="AA70" s="3"/>
      <c r="AB70" s="3"/>
      <c r="AC70" s="3"/>
      <c r="AD70" s="3"/>
      <c r="AE70" s="3"/>
      <c r="AF70" s="3"/>
      <c r="AG70" s="3"/>
      <c r="AH70" s="3"/>
      <c r="AI70" s="3"/>
      <c r="AJ70" s="3"/>
      <c r="AK70" s="3"/>
      <c r="AL70" s="3"/>
      <c r="AM70" s="3"/>
    </row>
    <row r="71" spans="7:39" x14ac:dyDescent="0.35">
      <c r="X71" s="3"/>
      <c r="Y71" s="3"/>
      <c r="Z71" s="3"/>
      <c r="AA71" s="3"/>
      <c r="AB71" s="3"/>
      <c r="AC71" s="3"/>
      <c r="AD71" s="3"/>
      <c r="AE71" s="3"/>
      <c r="AF71" s="3"/>
      <c r="AG71" s="3"/>
      <c r="AH71" s="3"/>
      <c r="AI71" s="3"/>
      <c r="AJ71" s="3"/>
      <c r="AK71" s="3"/>
      <c r="AL71" s="3"/>
      <c r="AM71" s="3"/>
    </row>
    <row r="72" spans="7:39" x14ac:dyDescent="0.35">
      <c r="X72" s="3"/>
      <c r="Y72" s="3"/>
      <c r="Z72" s="3"/>
      <c r="AA72" s="3"/>
      <c r="AB72" s="3"/>
      <c r="AC72" s="3"/>
      <c r="AD72" s="3"/>
      <c r="AE72" s="3"/>
      <c r="AF72" s="3"/>
      <c r="AG72" s="3"/>
      <c r="AH72" s="3"/>
      <c r="AI72" s="3"/>
      <c r="AJ72" s="3"/>
      <c r="AK72" s="3"/>
      <c r="AL72" s="3"/>
      <c r="AM72" s="3"/>
    </row>
    <row r="73" spans="7:39" x14ac:dyDescent="0.35">
      <c r="X73" s="3"/>
      <c r="Y73" s="3"/>
      <c r="Z73" s="3"/>
      <c r="AA73" s="3"/>
      <c r="AB73" s="3"/>
      <c r="AC73" s="3"/>
      <c r="AD73" s="3"/>
      <c r="AE73" s="3"/>
      <c r="AF73" s="3"/>
      <c r="AG73" s="3"/>
      <c r="AH73" s="3"/>
      <c r="AI73" s="3"/>
      <c r="AJ73" s="3"/>
      <c r="AK73" s="3"/>
      <c r="AL73" s="3"/>
      <c r="AM73" s="3"/>
    </row>
    <row r="74" spans="7:39" x14ac:dyDescent="0.35">
      <c r="X74" s="3"/>
      <c r="Y74" s="3"/>
      <c r="Z74" s="3"/>
      <c r="AA74" s="3"/>
      <c r="AB74" s="3"/>
      <c r="AC74" s="3"/>
      <c r="AD74" s="3"/>
      <c r="AE74" s="3"/>
      <c r="AF74" s="3"/>
      <c r="AG74" s="3"/>
      <c r="AH74" s="3"/>
      <c r="AI74" s="3"/>
      <c r="AJ74" s="3"/>
      <c r="AK74" s="3"/>
      <c r="AL74" s="3"/>
      <c r="AM74" s="3"/>
    </row>
    <row r="75" spans="7:39" x14ac:dyDescent="0.35">
      <c r="X75" s="3"/>
      <c r="Y75" s="3"/>
      <c r="Z75" s="3"/>
      <c r="AA75" s="3"/>
      <c r="AB75" s="3"/>
      <c r="AC75" s="3"/>
      <c r="AD75" s="3"/>
      <c r="AE75" s="3"/>
      <c r="AF75" s="3"/>
      <c r="AG75" s="3"/>
      <c r="AH75" s="3"/>
      <c r="AI75" s="3"/>
      <c r="AJ75" s="3"/>
      <c r="AK75" s="3"/>
      <c r="AL75" s="3"/>
      <c r="AM75" s="3"/>
    </row>
    <row r="76" spans="7:39" x14ac:dyDescent="0.35">
      <c r="X76" s="3"/>
      <c r="Y76" s="3"/>
      <c r="Z76" s="3"/>
      <c r="AA76" s="3"/>
      <c r="AB76" s="3"/>
      <c r="AC76" s="3"/>
      <c r="AD76" s="3"/>
      <c r="AE76" s="3"/>
      <c r="AF76" s="3"/>
      <c r="AG76" s="3"/>
      <c r="AH76" s="3"/>
      <c r="AI76" s="3"/>
      <c r="AJ76" s="3"/>
      <c r="AK76" s="3"/>
      <c r="AL76" s="3"/>
      <c r="AM76" s="3"/>
    </row>
    <row r="77" spans="7:39" x14ac:dyDescent="0.35">
      <c r="X77" s="3"/>
      <c r="Y77" s="3"/>
      <c r="Z77" s="3"/>
      <c r="AA77" s="3"/>
      <c r="AB77" s="3"/>
      <c r="AC77" s="3"/>
      <c r="AD77" s="3"/>
      <c r="AE77" s="3"/>
      <c r="AF77" s="3"/>
      <c r="AG77" s="3"/>
      <c r="AH77" s="3"/>
      <c r="AI77" s="3"/>
      <c r="AJ77" s="3"/>
      <c r="AK77" s="3"/>
      <c r="AL77" s="3"/>
      <c r="AM77" s="3"/>
    </row>
    <row r="78" spans="7:39" x14ac:dyDescent="0.35">
      <c r="X78" s="3"/>
      <c r="Y78" s="3"/>
      <c r="Z78" s="3"/>
      <c r="AA78" s="3"/>
      <c r="AB78" s="3"/>
      <c r="AC78" s="3"/>
      <c r="AD78" s="3"/>
      <c r="AE78" s="3"/>
      <c r="AF78" s="3"/>
      <c r="AG78" s="3"/>
      <c r="AH78" s="3"/>
      <c r="AI78" s="3"/>
      <c r="AJ78" s="3"/>
      <c r="AK78" s="3"/>
      <c r="AL78" s="3"/>
      <c r="AM78" s="3"/>
    </row>
  </sheetData>
  <mergeCells count="3">
    <mergeCell ref="AO1:AU1"/>
    <mergeCell ref="AO2:AU2"/>
    <mergeCell ref="K2:V2"/>
  </mergeCells>
  <printOptions horizontalCentered="1"/>
  <pageMargins left="0.12" right="0.36" top="0.34" bottom="0.75" header="0.3" footer="0.3"/>
  <pageSetup paperSize="9" scale="94"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7"/>
  <sheetViews>
    <sheetView showGridLines="0" zoomScale="75" workbookViewId="0">
      <pane ySplit="3" topLeftCell="A34" activePane="bottomLeft" state="frozen"/>
      <selection pane="bottomLeft" activeCell="H52" sqref="H52"/>
    </sheetView>
  </sheetViews>
  <sheetFormatPr defaultColWidth="9.1796875" defaultRowHeight="18.5" x14ac:dyDescent="0.45"/>
  <cols>
    <col min="1" max="1" width="43.54296875" style="299" customWidth="1"/>
    <col min="2" max="2" width="72.26953125" style="299" customWidth="1"/>
    <col min="3" max="4" width="15.453125" style="299" customWidth="1"/>
    <col min="5" max="14" width="15.81640625" style="299" customWidth="1"/>
    <col min="15" max="15" width="19.81640625" style="299" customWidth="1"/>
    <col min="16" max="16" width="11.1796875" style="299" bestFit="1" customWidth="1"/>
    <col min="17" max="16384" width="9.1796875" style="299"/>
  </cols>
  <sheetData>
    <row r="1" spans="1:15" s="300" customFormat="1" ht="18" customHeight="1" x14ac:dyDescent="0.35">
      <c r="A1" s="599" t="s">
        <v>86</v>
      </c>
      <c r="B1" s="600"/>
      <c r="C1" s="600"/>
      <c r="D1" s="600"/>
      <c r="E1" s="600"/>
      <c r="F1" s="600"/>
      <c r="G1" s="600"/>
      <c r="H1" s="600"/>
      <c r="I1" s="600"/>
      <c r="J1" s="600"/>
      <c r="K1" s="600"/>
      <c r="L1" s="600"/>
      <c r="M1" s="600"/>
      <c r="N1" s="600"/>
      <c r="O1" s="601"/>
    </row>
    <row r="2" spans="1:15" s="300" customFormat="1" ht="18" customHeight="1" x14ac:dyDescent="0.35">
      <c r="A2" s="599" t="s">
        <v>207</v>
      </c>
      <c r="B2" s="600"/>
      <c r="C2" s="600"/>
      <c r="D2" s="600"/>
      <c r="E2" s="600"/>
      <c r="F2" s="600"/>
      <c r="G2" s="600"/>
      <c r="H2" s="600"/>
      <c r="I2" s="600"/>
      <c r="J2" s="600"/>
      <c r="K2" s="600"/>
      <c r="L2" s="600"/>
      <c r="M2" s="600"/>
      <c r="N2" s="600"/>
      <c r="O2" s="601"/>
    </row>
    <row r="3" spans="1:15" s="300" customFormat="1" ht="18" customHeight="1" x14ac:dyDescent="0.35">
      <c r="A3" s="301" t="s">
        <v>208</v>
      </c>
      <c r="B3" s="302" t="s">
        <v>209</v>
      </c>
      <c r="C3" s="302">
        <v>40544</v>
      </c>
      <c r="D3" s="303">
        <v>40575</v>
      </c>
      <c r="E3" s="303">
        <v>40603</v>
      </c>
      <c r="F3" s="303">
        <v>40634</v>
      </c>
      <c r="G3" s="303">
        <v>40664</v>
      </c>
      <c r="H3" s="303">
        <v>40695</v>
      </c>
      <c r="I3" s="303">
        <v>40725</v>
      </c>
      <c r="J3" s="303">
        <v>40756</v>
      </c>
      <c r="K3" s="303">
        <v>40787</v>
      </c>
      <c r="L3" s="303">
        <v>40817</v>
      </c>
      <c r="M3" s="303">
        <v>40848</v>
      </c>
      <c r="N3" s="303">
        <v>40878</v>
      </c>
      <c r="O3" s="304" t="s">
        <v>0</v>
      </c>
    </row>
    <row r="4" spans="1:15" s="300" customFormat="1" ht="18" customHeight="1" x14ac:dyDescent="0.35">
      <c r="A4" s="305" t="s">
        <v>9</v>
      </c>
      <c r="B4" s="306"/>
      <c r="C4" s="306"/>
      <c r="D4" s="306"/>
      <c r="E4" s="306"/>
      <c r="F4" s="306"/>
      <c r="G4" s="306"/>
      <c r="H4" s="306"/>
      <c r="I4" s="306"/>
      <c r="J4" s="306"/>
      <c r="K4" s="306"/>
      <c r="L4" s="306"/>
      <c r="M4" s="306"/>
      <c r="N4" s="306"/>
      <c r="O4" s="307"/>
    </row>
    <row r="5" spans="1:15" ht="19" x14ac:dyDescent="0.45">
      <c r="A5" s="308" t="s">
        <v>210</v>
      </c>
      <c r="B5" s="309" t="s">
        <v>211</v>
      </c>
      <c r="C5" s="310"/>
      <c r="D5" s="310"/>
      <c r="E5" s="310"/>
      <c r="F5" s="310"/>
      <c r="G5" s="310"/>
      <c r="H5" s="310"/>
      <c r="I5" s="310"/>
      <c r="J5" s="310"/>
      <c r="K5" s="310"/>
      <c r="L5" s="310"/>
      <c r="M5" s="310"/>
      <c r="N5" s="310"/>
      <c r="O5" s="311">
        <f>SUM(C5:N5)</f>
        <v>0</v>
      </c>
    </row>
    <row r="6" spans="1:15" ht="47.25" customHeight="1" x14ac:dyDescent="0.45">
      <c r="A6" s="308" t="s">
        <v>212</v>
      </c>
      <c r="B6" s="312" t="s">
        <v>213</v>
      </c>
      <c r="C6" s="310"/>
      <c r="D6" s="310"/>
      <c r="E6" s="310"/>
      <c r="F6" s="310"/>
      <c r="G6" s="310"/>
      <c r="H6" s="310"/>
      <c r="I6" s="310"/>
      <c r="J6" s="310"/>
      <c r="K6" s="310"/>
      <c r="L6" s="310"/>
      <c r="M6" s="310"/>
      <c r="N6" s="310"/>
      <c r="O6" s="311">
        <f t="shared" ref="O6:O15" si="0">SUM(C6:N6)</f>
        <v>0</v>
      </c>
    </row>
    <row r="7" spans="1:15" ht="47.25" customHeight="1" x14ac:dyDescent="0.45">
      <c r="A7" s="308" t="s">
        <v>214</v>
      </c>
      <c r="B7" s="312" t="s">
        <v>215</v>
      </c>
      <c r="C7" s="310"/>
      <c r="D7" s="310">
        <v>250000</v>
      </c>
      <c r="E7" s="310"/>
      <c r="F7" s="310"/>
      <c r="G7" s="310"/>
      <c r="H7" s="310"/>
      <c r="I7" s="310"/>
      <c r="J7" s="310"/>
      <c r="K7" s="310"/>
      <c r="L7" s="310"/>
      <c r="M7" s="310"/>
      <c r="N7" s="310"/>
      <c r="O7" s="311">
        <f t="shared" si="0"/>
        <v>250000</v>
      </c>
    </row>
    <row r="8" spans="1:15" ht="36" x14ac:dyDescent="0.45">
      <c r="A8" s="308" t="s">
        <v>216</v>
      </c>
      <c r="B8" s="309" t="s">
        <v>217</v>
      </c>
      <c r="C8" s="310"/>
      <c r="D8" s="310"/>
      <c r="E8" s="310"/>
      <c r="F8" s="310"/>
      <c r="G8" s="310"/>
      <c r="H8" s="310"/>
      <c r="I8" s="310"/>
      <c r="J8" s="310"/>
      <c r="K8" s="310"/>
      <c r="L8" s="310"/>
      <c r="M8" s="310"/>
      <c r="N8" s="310"/>
      <c r="O8" s="311">
        <f t="shared" si="0"/>
        <v>0</v>
      </c>
    </row>
    <row r="9" spans="1:15" ht="36" x14ac:dyDescent="0.45">
      <c r="A9" s="308" t="s">
        <v>218</v>
      </c>
      <c r="B9" s="309" t="s">
        <v>219</v>
      </c>
      <c r="C9" s="310"/>
      <c r="D9" s="310"/>
      <c r="E9" s="310"/>
      <c r="F9" s="300"/>
      <c r="G9" s="310">
        <v>210000</v>
      </c>
      <c r="H9" s="310"/>
      <c r="I9" s="310"/>
      <c r="J9" s="310"/>
      <c r="K9" s="310"/>
      <c r="L9" s="310"/>
      <c r="M9" s="310"/>
      <c r="N9" s="310"/>
      <c r="O9" s="311">
        <f t="shared" si="0"/>
        <v>210000</v>
      </c>
    </row>
    <row r="10" spans="1:15" ht="19" x14ac:dyDescent="0.45">
      <c r="A10" s="308" t="s">
        <v>220</v>
      </c>
      <c r="B10" s="309" t="s">
        <v>221</v>
      </c>
      <c r="C10" s="310"/>
      <c r="D10" s="310"/>
      <c r="E10" s="310"/>
      <c r="F10" s="310"/>
      <c r="G10" s="310"/>
      <c r="H10" s="310"/>
      <c r="I10" s="310"/>
      <c r="J10" s="310">
        <v>150000</v>
      </c>
      <c r="K10" s="310"/>
      <c r="L10" s="310"/>
      <c r="M10" s="310"/>
      <c r="N10" s="310"/>
      <c r="O10" s="311">
        <f t="shared" si="0"/>
        <v>150000</v>
      </c>
    </row>
    <row r="11" spans="1:15" ht="19" x14ac:dyDescent="0.45">
      <c r="A11" s="308" t="s">
        <v>222</v>
      </c>
      <c r="B11" s="309" t="s">
        <v>223</v>
      </c>
      <c r="C11" s="310"/>
      <c r="D11" s="310"/>
      <c r="E11" s="310"/>
      <c r="F11" s="310"/>
      <c r="G11" s="310"/>
      <c r="H11" s="310"/>
      <c r="I11" s="310"/>
      <c r="J11" s="310"/>
      <c r="K11" s="310"/>
      <c r="L11" s="310"/>
      <c r="M11" s="310"/>
      <c r="N11" s="310"/>
      <c r="O11" s="311">
        <f t="shared" si="0"/>
        <v>0</v>
      </c>
    </row>
    <row r="12" spans="1:15" ht="19" x14ac:dyDescent="0.45">
      <c r="A12" s="308" t="s">
        <v>224</v>
      </c>
      <c r="B12" s="309" t="s">
        <v>225</v>
      </c>
      <c r="C12" s="310"/>
      <c r="D12" s="310"/>
      <c r="E12" s="310"/>
      <c r="F12" s="310"/>
      <c r="G12" s="310"/>
      <c r="H12" s="310"/>
      <c r="I12" s="310"/>
      <c r="J12" s="310"/>
      <c r="K12" s="310"/>
      <c r="L12" s="310"/>
      <c r="M12" s="310"/>
      <c r="N12" s="310"/>
      <c r="O12" s="311">
        <f t="shared" si="0"/>
        <v>0</v>
      </c>
    </row>
    <row r="13" spans="1:15" ht="19" x14ac:dyDescent="0.45">
      <c r="A13" s="308" t="s">
        <v>226</v>
      </c>
      <c r="B13" s="309" t="s">
        <v>227</v>
      </c>
      <c r="C13" s="310"/>
      <c r="D13" s="310"/>
      <c r="E13" s="310"/>
      <c r="F13" s="310"/>
      <c r="G13" s="310"/>
      <c r="H13" s="310"/>
      <c r="I13" s="310"/>
      <c r="J13" s="310"/>
      <c r="K13" s="310"/>
      <c r="L13" s="310"/>
      <c r="M13" s="310"/>
      <c r="N13" s="310"/>
      <c r="O13" s="311">
        <f t="shared" si="0"/>
        <v>0</v>
      </c>
    </row>
    <row r="14" spans="1:15" ht="19" x14ac:dyDescent="0.45">
      <c r="A14" s="308" t="s">
        <v>228</v>
      </c>
      <c r="B14" s="309" t="s">
        <v>221</v>
      </c>
      <c r="C14" s="310"/>
      <c r="D14" s="310"/>
      <c r="E14" s="310"/>
      <c r="F14" s="310"/>
      <c r="G14" s="310"/>
      <c r="H14" s="310"/>
      <c r="I14" s="310"/>
      <c r="J14" s="310">
        <v>250000</v>
      </c>
      <c r="K14" s="300"/>
      <c r="L14" s="310"/>
      <c r="M14" s="310"/>
      <c r="N14" s="310"/>
      <c r="O14" s="311">
        <f t="shared" si="0"/>
        <v>250000</v>
      </c>
    </row>
    <row r="15" spans="1:15" ht="19" x14ac:dyDescent="0.45">
      <c r="A15" s="308" t="s">
        <v>229</v>
      </c>
      <c r="B15" s="309" t="s">
        <v>230</v>
      </c>
      <c r="C15" s="300"/>
      <c r="D15" s="310">
        <v>38000</v>
      </c>
      <c r="E15" s="310"/>
      <c r="F15" s="310"/>
      <c r="G15" s="310"/>
      <c r="H15" s="310"/>
      <c r="I15" s="310"/>
      <c r="J15" s="310">
        <v>38000</v>
      </c>
      <c r="K15" s="310"/>
      <c r="L15" s="310"/>
      <c r="M15" s="310"/>
      <c r="N15" s="310"/>
      <c r="O15" s="311">
        <f t="shared" si="0"/>
        <v>76000</v>
      </c>
    </row>
    <row r="16" spans="1:15" x14ac:dyDescent="0.45">
      <c r="A16" s="313" t="s">
        <v>231</v>
      </c>
      <c r="B16" s="314"/>
      <c r="C16" s="315">
        <f t="shared" ref="C16:O16" si="1">SUM(C4:C15)</f>
        <v>0</v>
      </c>
      <c r="D16" s="315">
        <f t="shared" si="1"/>
        <v>288000</v>
      </c>
      <c r="E16" s="315">
        <f t="shared" si="1"/>
        <v>0</v>
      </c>
      <c r="F16" s="315">
        <f t="shared" si="1"/>
        <v>0</v>
      </c>
      <c r="G16" s="315">
        <f t="shared" si="1"/>
        <v>210000</v>
      </c>
      <c r="H16" s="315">
        <f t="shared" si="1"/>
        <v>0</v>
      </c>
      <c r="I16" s="315">
        <f t="shared" si="1"/>
        <v>0</v>
      </c>
      <c r="J16" s="315">
        <f t="shared" si="1"/>
        <v>438000</v>
      </c>
      <c r="K16" s="315">
        <f t="shared" si="1"/>
        <v>0</v>
      </c>
      <c r="L16" s="315">
        <f t="shared" si="1"/>
        <v>0</v>
      </c>
      <c r="M16" s="315">
        <f t="shared" si="1"/>
        <v>0</v>
      </c>
      <c r="N16" s="315">
        <f t="shared" si="1"/>
        <v>0</v>
      </c>
      <c r="O16" s="316">
        <f t="shared" si="1"/>
        <v>936000</v>
      </c>
    </row>
    <row r="17" spans="1:15" s="300" customFormat="1" ht="18" customHeight="1" x14ac:dyDescent="0.45">
      <c r="A17" s="317"/>
      <c r="B17" s="318"/>
      <c r="C17" s="319"/>
      <c r="D17" s="319"/>
      <c r="E17" s="319"/>
      <c r="F17" s="319"/>
      <c r="G17" s="319"/>
      <c r="H17" s="319"/>
      <c r="I17" s="319"/>
      <c r="J17" s="319"/>
      <c r="K17" s="319"/>
      <c r="L17" s="319"/>
      <c r="M17" s="319"/>
      <c r="N17" s="319"/>
      <c r="O17" s="320"/>
    </row>
    <row r="18" spans="1:15" s="300" customFormat="1" ht="18" customHeight="1" x14ac:dyDescent="0.35">
      <c r="A18" s="321" t="s">
        <v>232</v>
      </c>
      <c r="B18" s="322"/>
      <c r="C18" s="322"/>
      <c r="D18" s="322"/>
      <c r="E18" s="322"/>
      <c r="F18" s="322"/>
      <c r="G18" s="322"/>
      <c r="H18" s="322"/>
      <c r="I18" s="322"/>
      <c r="J18" s="322"/>
      <c r="K18" s="322"/>
      <c r="L18" s="322"/>
      <c r="M18" s="322"/>
      <c r="N18" s="322"/>
      <c r="O18" s="323"/>
    </row>
    <row r="19" spans="1:15" s="300" customFormat="1" ht="18" customHeight="1" x14ac:dyDescent="0.35">
      <c r="A19" s="308" t="s">
        <v>233</v>
      </c>
      <c r="B19" s="310" t="s">
        <v>234</v>
      </c>
      <c r="C19" s="310"/>
      <c r="D19" s="310"/>
      <c r="E19" s="310"/>
      <c r="F19" s="310"/>
      <c r="G19" s="310"/>
      <c r="H19" s="310"/>
      <c r="I19" s="310"/>
      <c r="J19" s="310"/>
      <c r="K19" s="310"/>
      <c r="L19" s="310"/>
      <c r="M19" s="310"/>
      <c r="N19" s="310"/>
      <c r="O19" s="311">
        <f>SUM(C19:N19)</f>
        <v>0</v>
      </c>
    </row>
    <row r="20" spans="1:15" s="300" customFormat="1" ht="18" customHeight="1" x14ac:dyDescent="0.35">
      <c r="A20" s="308" t="s">
        <v>235</v>
      </c>
      <c r="B20" s="310" t="s">
        <v>236</v>
      </c>
      <c r="C20" s="310"/>
      <c r="D20" s="310"/>
      <c r="E20" s="310"/>
      <c r="F20" s="310"/>
      <c r="G20" s="310"/>
      <c r="H20" s="310"/>
      <c r="I20" s="310"/>
      <c r="J20" s="310"/>
      <c r="K20" s="310"/>
      <c r="L20" s="310"/>
      <c r="M20" s="310"/>
      <c r="N20" s="310"/>
      <c r="O20" s="311">
        <f t="shared" ref="O20:O25" si="2">SUM(C20:N20)</f>
        <v>0</v>
      </c>
    </row>
    <row r="21" spans="1:15" s="300" customFormat="1" ht="18" customHeight="1" x14ac:dyDescent="0.35">
      <c r="A21" s="308" t="s">
        <v>237</v>
      </c>
      <c r="B21" s="310" t="s">
        <v>238</v>
      </c>
      <c r="C21" s="310"/>
      <c r="D21" s="310"/>
      <c r="E21" s="310"/>
      <c r="F21" s="310"/>
      <c r="G21" s="310"/>
      <c r="H21" s="310">
        <v>600000</v>
      </c>
      <c r="I21" s="310"/>
      <c r="J21" s="310"/>
      <c r="K21" s="310"/>
      <c r="L21" s="310"/>
      <c r="M21" s="310"/>
      <c r="N21" s="310"/>
      <c r="O21" s="311">
        <f t="shared" si="2"/>
        <v>600000</v>
      </c>
    </row>
    <row r="22" spans="1:15" s="300" customFormat="1" ht="18" customHeight="1" x14ac:dyDescent="0.35">
      <c r="A22" s="308" t="s">
        <v>239</v>
      </c>
      <c r="B22" s="310" t="s">
        <v>240</v>
      </c>
      <c r="C22" s="310"/>
      <c r="D22" s="310"/>
      <c r="E22" s="310"/>
      <c r="F22" s="310"/>
      <c r="G22" s="310"/>
      <c r="H22" s="310"/>
      <c r="I22" s="310"/>
      <c r="J22" s="310"/>
      <c r="K22" s="310"/>
      <c r="L22" s="310"/>
      <c r="M22" s="310"/>
      <c r="N22" s="310"/>
      <c r="O22" s="311">
        <f t="shared" si="2"/>
        <v>0</v>
      </c>
    </row>
    <row r="23" spans="1:15" s="300" customFormat="1" ht="41.25" customHeight="1" x14ac:dyDescent="0.35">
      <c r="A23" s="308" t="s">
        <v>241</v>
      </c>
      <c r="B23" s="312" t="s">
        <v>242</v>
      </c>
      <c r="C23" s="310"/>
      <c r="D23" s="310"/>
      <c r="E23" s="310"/>
      <c r="F23" s="310"/>
      <c r="G23" s="310"/>
      <c r="H23" s="310"/>
      <c r="I23" s="310"/>
      <c r="J23" s="310"/>
      <c r="K23" s="310"/>
      <c r="L23" s="310"/>
      <c r="M23" s="310"/>
      <c r="N23" s="310"/>
      <c r="O23" s="311">
        <f t="shared" si="2"/>
        <v>0</v>
      </c>
    </row>
    <row r="24" spans="1:15" s="300" customFormat="1" ht="41.25" customHeight="1" x14ac:dyDescent="0.35">
      <c r="A24" s="308" t="s">
        <v>243</v>
      </c>
      <c r="B24" s="312" t="s">
        <v>244</v>
      </c>
      <c r="C24" s="310"/>
      <c r="D24" s="310">
        <v>240000</v>
      </c>
      <c r="E24" s="310"/>
      <c r="F24" s="310"/>
      <c r="G24" s="310"/>
      <c r="H24" s="310"/>
      <c r="I24" s="310"/>
      <c r="J24" s="310"/>
      <c r="K24" s="310"/>
      <c r="L24" s="310"/>
      <c r="M24" s="310"/>
      <c r="N24" s="310"/>
      <c r="O24" s="311">
        <f t="shared" si="2"/>
        <v>240000</v>
      </c>
    </row>
    <row r="25" spans="1:15" s="300" customFormat="1" ht="18" customHeight="1" x14ac:dyDescent="0.35">
      <c r="A25" s="308" t="s">
        <v>245</v>
      </c>
      <c r="B25" s="310" t="s">
        <v>246</v>
      </c>
      <c r="C25" s="310"/>
      <c r="D25" s="310">
        <v>175000</v>
      </c>
      <c r="E25" s="310"/>
      <c r="F25" s="310"/>
      <c r="G25" s="310"/>
      <c r="H25" s="310"/>
      <c r="I25" s="310"/>
      <c r="J25" s="310"/>
      <c r="K25" s="310"/>
      <c r="L25" s="310"/>
      <c r="M25" s="310"/>
      <c r="N25" s="310"/>
      <c r="O25" s="311">
        <f t="shared" si="2"/>
        <v>175000</v>
      </c>
    </row>
    <row r="26" spans="1:15" s="300" customFormat="1" ht="18" customHeight="1" x14ac:dyDescent="0.35">
      <c r="A26" s="308" t="s">
        <v>247</v>
      </c>
      <c r="B26" s="310" t="s">
        <v>248</v>
      </c>
      <c r="C26" s="310"/>
      <c r="D26" s="310"/>
      <c r="E26" s="310">
        <v>150000</v>
      </c>
      <c r="F26" s="310"/>
      <c r="G26" s="310"/>
      <c r="H26" s="310"/>
      <c r="I26" s="310"/>
      <c r="J26" s="310"/>
      <c r="K26" s="310"/>
      <c r="L26" s="310"/>
      <c r="M26" s="310"/>
      <c r="N26" s="310"/>
      <c r="O26" s="311">
        <f>SUM(C26:N26)</f>
        <v>150000</v>
      </c>
    </row>
    <row r="27" spans="1:15" s="300" customFormat="1" ht="18" customHeight="1" x14ac:dyDescent="0.35">
      <c r="A27" s="324" t="s">
        <v>249</v>
      </c>
      <c r="B27" s="325"/>
      <c r="C27" s="315">
        <f>SUM(C18:C26)</f>
        <v>0</v>
      </c>
      <c r="D27" s="315">
        <f t="shared" ref="D27:O27" si="3">SUM(D18:D26)</f>
        <v>415000</v>
      </c>
      <c r="E27" s="315">
        <f t="shared" si="3"/>
        <v>150000</v>
      </c>
      <c r="F27" s="315">
        <f t="shared" si="3"/>
        <v>0</v>
      </c>
      <c r="G27" s="315">
        <f t="shared" si="3"/>
        <v>0</v>
      </c>
      <c r="H27" s="315">
        <f t="shared" si="3"/>
        <v>600000</v>
      </c>
      <c r="I27" s="315">
        <f t="shared" si="3"/>
        <v>0</v>
      </c>
      <c r="J27" s="315">
        <f t="shared" si="3"/>
        <v>0</v>
      </c>
      <c r="K27" s="315">
        <f t="shared" si="3"/>
        <v>0</v>
      </c>
      <c r="L27" s="315">
        <f t="shared" si="3"/>
        <v>0</v>
      </c>
      <c r="M27" s="315">
        <f t="shared" si="3"/>
        <v>0</v>
      </c>
      <c r="N27" s="315">
        <f t="shared" si="3"/>
        <v>0</v>
      </c>
      <c r="O27" s="316">
        <f t="shared" si="3"/>
        <v>1165000</v>
      </c>
    </row>
    <row r="28" spans="1:15" s="300" customFormat="1" ht="18" customHeight="1" x14ac:dyDescent="0.35">
      <c r="A28" s="317"/>
      <c r="B28" s="326"/>
      <c r="C28" s="319"/>
      <c r="D28" s="319"/>
      <c r="E28" s="319"/>
      <c r="F28" s="319"/>
      <c r="G28" s="319"/>
      <c r="H28" s="319"/>
      <c r="I28" s="319"/>
      <c r="J28" s="319"/>
      <c r="K28" s="319"/>
      <c r="L28" s="319"/>
      <c r="M28" s="319"/>
      <c r="N28" s="319"/>
      <c r="O28" s="320"/>
    </row>
    <row r="29" spans="1:15" s="300" customFormat="1" ht="35.25" customHeight="1" x14ac:dyDescent="0.35">
      <c r="A29" s="321" t="s">
        <v>99</v>
      </c>
      <c r="B29" s="327"/>
      <c r="C29" s="328"/>
      <c r="D29" s="328"/>
      <c r="E29" s="328"/>
      <c r="F29" s="328"/>
      <c r="G29" s="328"/>
      <c r="H29" s="328"/>
      <c r="I29" s="328"/>
      <c r="J29" s="328"/>
      <c r="K29" s="328"/>
      <c r="L29" s="328"/>
      <c r="M29" s="328"/>
      <c r="N29" s="328"/>
      <c r="O29" s="329"/>
    </row>
    <row r="30" spans="1:15" s="300" customFormat="1" ht="18" customHeight="1" x14ac:dyDescent="0.35">
      <c r="A30" s="308" t="s">
        <v>250</v>
      </c>
      <c r="B30" s="310" t="s">
        <v>251</v>
      </c>
      <c r="C30" s="330"/>
      <c r="D30" s="310">
        <v>70000</v>
      </c>
      <c r="E30" s="330"/>
      <c r="F30" s="310"/>
      <c r="G30" s="330"/>
      <c r="H30" s="330"/>
      <c r="I30" s="330"/>
      <c r="J30" s="330"/>
      <c r="K30" s="330"/>
      <c r="L30" s="330"/>
      <c r="M30" s="330"/>
      <c r="N30" s="330"/>
      <c r="O30" s="311">
        <f>SUM(C30:N30)</f>
        <v>70000</v>
      </c>
    </row>
    <row r="31" spans="1:15" s="300" customFormat="1" ht="18" customHeight="1" x14ac:dyDescent="0.35">
      <c r="A31" s="308"/>
      <c r="B31" s="310"/>
      <c r="C31" s="330"/>
      <c r="D31" s="330"/>
      <c r="E31" s="330"/>
      <c r="F31" s="310"/>
      <c r="G31" s="310"/>
      <c r="H31" s="310"/>
      <c r="I31" s="330"/>
      <c r="J31" s="330"/>
      <c r="K31" s="330"/>
      <c r="L31" s="330"/>
      <c r="M31" s="330"/>
      <c r="N31" s="330"/>
      <c r="O31" s="311">
        <f>SUM(C31:N31)</f>
        <v>0</v>
      </c>
    </row>
    <row r="32" spans="1:15" s="300" customFormat="1" ht="18" customHeight="1" x14ac:dyDescent="0.35">
      <c r="A32" s="313" t="s">
        <v>252</v>
      </c>
      <c r="B32" s="325"/>
      <c r="C32" s="315">
        <f>SUM(C29:C31)</f>
        <v>0</v>
      </c>
      <c r="D32" s="315">
        <f t="shared" ref="D32:O32" si="4">SUM(D29:D31)</f>
        <v>70000</v>
      </c>
      <c r="E32" s="315">
        <f t="shared" si="4"/>
        <v>0</v>
      </c>
      <c r="F32" s="315">
        <f t="shared" si="4"/>
        <v>0</v>
      </c>
      <c r="G32" s="315">
        <f t="shared" si="4"/>
        <v>0</v>
      </c>
      <c r="H32" s="315">
        <f t="shared" si="4"/>
        <v>0</v>
      </c>
      <c r="I32" s="315">
        <f t="shared" si="4"/>
        <v>0</v>
      </c>
      <c r="J32" s="315">
        <f t="shared" si="4"/>
        <v>0</v>
      </c>
      <c r="K32" s="315">
        <f t="shared" si="4"/>
        <v>0</v>
      </c>
      <c r="L32" s="315">
        <f t="shared" si="4"/>
        <v>0</v>
      </c>
      <c r="M32" s="315">
        <f t="shared" si="4"/>
        <v>0</v>
      </c>
      <c r="N32" s="315">
        <f t="shared" si="4"/>
        <v>0</v>
      </c>
      <c r="O32" s="316">
        <f t="shared" si="4"/>
        <v>70000</v>
      </c>
    </row>
    <row r="33" spans="1:15" s="300" customFormat="1" ht="18" customHeight="1" x14ac:dyDescent="0.35">
      <c r="A33" s="317"/>
      <c r="B33" s="326"/>
      <c r="C33" s="319"/>
      <c r="D33" s="319"/>
      <c r="E33" s="319"/>
      <c r="F33" s="319"/>
      <c r="G33" s="319"/>
      <c r="H33" s="319"/>
      <c r="I33" s="319"/>
      <c r="J33" s="319"/>
      <c r="K33" s="319"/>
      <c r="L33" s="319"/>
      <c r="M33" s="319"/>
      <c r="N33" s="319"/>
      <c r="O33" s="320"/>
    </row>
    <row r="34" spans="1:15" s="300" customFormat="1" ht="18" customHeight="1" x14ac:dyDescent="0.35">
      <c r="A34" s="321" t="s">
        <v>6</v>
      </c>
      <c r="B34" s="322"/>
      <c r="C34" s="322"/>
      <c r="D34" s="322"/>
      <c r="E34" s="322"/>
      <c r="F34" s="322"/>
      <c r="G34" s="322"/>
      <c r="H34" s="322"/>
      <c r="I34" s="322"/>
      <c r="J34" s="322"/>
      <c r="K34" s="322"/>
      <c r="L34" s="322"/>
      <c r="M34" s="322"/>
      <c r="N34" s="322"/>
      <c r="O34" s="323"/>
    </row>
    <row r="35" spans="1:15" s="300" customFormat="1" ht="18" customHeight="1" x14ac:dyDescent="0.35">
      <c r="A35" s="331" t="s">
        <v>253</v>
      </c>
      <c r="B35" s="310" t="s">
        <v>251</v>
      </c>
      <c r="C35" s="310"/>
      <c r="D35" s="310">
        <v>90000</v>
      </c>
      <c r="E35" s="310"/>
      <c r="F35" s="310"/>
      <c r="G35" s="310"/>
      <c r="H35" s="310"/>
      <c r="I35" s="310"/>
      <c r="J35" s="310"/>
      <c r="K35" s="310"/>
      <c r="L35" s="310"/>
      <c r="M35" s="310"/>
      <c r="N35" s="310"/>
      <c r="O35" s="311">
        <f>SUM(C35:N35)</f>
        <v>90000</v>
      </c>
    </row>
    <row r="36" spans="1:15" s="300" customFormat="1" ht="18" customHeight="1" x14ac:dyDescent="0.35">
      <c r="A36" s="331" t="s">
        <v>254</v>
      </c>
      <c r="B36" s="310"/>
      <c r="C36" s="310"/>
      <c r="D36" s="310">
        <v>90000</v>
      </c>
      <c r="E36" s="310"/>
      <c r="F36" s="310"/>
      <c r="G36" s="310"/>
      <c r="H36" s="310"/>
      <c r="I36" s="310"/>
      <c r="J36" s="310"/>
      <c r="K36" s="310"/>
      <c r="L36" s="310"/>
      <c r="M36" s="310"/>
      <c r="N36" s="310"/>
      <c r="O36" s="311">
        <f>SUM(C36:N36)</f>
        <v>90000</v>
      </c>
    </row>
    <row r="37" spans="1:15" s="300" customFormat="1" ht="18" customHeight="1" x14ac:dyDescent="0.35">
      <c r="A37" s="331" t="s">
        <v>255</v>
      </c>
      <c r="B37" s="310" t="s">
        <v>256</v>
      </c>
      <c r="C37" s="310"/>
      <c r="D37" s="310"/>
      <c r="E37" s="310"/>
      <c r="F37" s="310"/>
      <c r="G37" s="310"/>
      <c r="H37" s="310">
        <v>319000</v>
      </c>
      <c r="I37" s="310"/>
      <c r="J37" s="310"/>
      <c r="K37" s="310"/>
      <c r="L37" s="310">
        <v>319000</v>
      </c>
      <c r="M37" s="310"/>
      <c r="N37" s="310"/>
      <c r="O37" s="311">
        <f>SUM(C37:N37)</f>
        <v>638000</v>
      </c>
    </row>
    <row r="38" spans="1:15" s="300" customFormat="1" ht="39.75" customHeight="1" x14ac:dyDescent="0.35">
      <c r="A38" s="308" t="s">
        <v>257</v>
      </c>
      <c r="B38" s="310" t="s">
        <v>258</v>
      </c>
      <c r="C38" s="310"/>
      <c r="D38" s="310"/>
      <c r="E38" s="310"/>
      <c r="F38" s="310"/>
      <c r="G38" s="310"/>
      <c r="H38" s="310"/>
      <c r="I38" s="310"/>
      <c r="J38" s="310"/>
      <c r="K38" s="310"/>
      <c r="L38" s="310"/>
      <c r="M38" s="310"/>
      <c r="N38" s="310"/>
      <c r="O38" s="311">
        <f>SUM(C38:N38)</f>
        <v>0</v>
      </c>
    </row>
    <row r="39" spans="1:15" s="300" customFormat="1" ht="18" customHeight="1" x14ac:dyDescent="0.35">
      <c r="A39" s="313" t="s">
        <v>259</v>
      </c>
      <c r="B39" s="325"/>
      <c r="C39" s="315">
        <f t="shared" ref="C39:O39" si="5">SUM(C34:C38)</f>
        <v>0</v>
      </c>
      <c r="D39" s="315">
        <f t="shared" si="5"/>
        <v>180000</v>
      </c>
      <c r="E39" s="315">
        <f t="shared" si="5"/>
        <v>0</v>
      </c>
      <c r="F39" s="315">
        <f t="shared" si="5"/>
        <v>0</v>
      </c>
      <c r="G39" s="315">
        <f t="shared" si="5"/>
        <v>0</v>
      </c>
      <c r="H39" s="315">
        <f t="shared" si="5"/>
        <v>319000</v>
      </c>
      <c r="I39" s="315">
        <f t="shared" si="5"/>
        <v>0</v>
      </c>
      <c r="J39" s="315">
        <f t="shared" si="5"/>
        <v>0</v>
      </c>
      <c r="K39" s="315">
        <f t="shared" si="5"/>
        <v>0</v>
      </c>
      <c r="L39" s="315">
        <f t="shared" si="5"/>
        <v>319000</v>
      </c>
      <c r="M39" s="315">
        <f t="shared" si="5"/>
        <v>0</v>
      </c>
      <c r="N39" s="315">
        <f t="shared" si="5"/>
        <v>0</v>
      </c>
      <c r="O39" s="316">
        <f t="shared" si="5"/>
        <v>818000</v>
      </c>
    </row>
    <row r="40" spans="1:15" s="300" customFormat="1" ht="18" customHeight="1" x14ac:dyDescent="0.35">
      <c r="A40" s="317"/>
      <c r="B40" s="326"/>
      <c r="C40" s="319"/>
      <c r="D40" s="319"/>
      <c r="E40" s="319"/>
      <c r="F40" s="319"/>
      <c r="G40" s="319"/>
      <c r="H40" s="319"/>
      <c r="I40" s="319"/>
      <c r="J40" s="319"/>
      <c r="K40" s="319"/>
      <c r="L40" s="319"/>
      <c r="M40" s="319"/>
      <c r="N40" s="319"/>
      <c r="O40" s="320"/>
    </row>
    <row r="41" spans="1:15" s="300" customFormat="1" ht="18" customHeight="1" x14ac:dyDescent="0.35">
      <c r="A41" s="321" t="s">
        <v>260</v>
      </c>
      <c r="B41" s="322"/>
      <c r="C41" s="322"/>
      <c r="D41" s="322"/>
      <c r="E41" s="322"/>
      <c r="F41" s="322"/>
      <c r="G41" s="322"/>
      <c r="H41" s="322"/>
      <c r="I41" s="322"/>
      <c r="J41" s="322"/>
      <c r="K41" s="322"/>
      <c r="L41" s="322"/>
      <c r="M41" s="322"/>
      <c r="N41" s="322"/>
      <c r="O41" s="323">
        <f t="shared" ref="O41:O49" si="6">SUM(C41:N41)</f>
        <v>0</v>
      </c>
    </row>
    <row r="42" spans="1:15" s="300" customFormat="1" ht="18" customHeight="1" x14ac:dyDescent="0.35">
      <c r="A42" s="331" t="s">
        <v>261</v>
      </c>
      <c r="B42" s="310" t="s">
        <v>262</v>
      </c>
      <c r="C42" s="310"/>
      <c r="D42" s="310"/>
      <c r="E42" s="310"/>
      <c r="F42" s="310">
        <v>1500000</v>
      </c>
      <c r="G42" s="310"/>
      <c r="H42" s="310"/>
      <c r="I42" s="310"/>
      <c r="J42" s="310"/>
      <c r="K42" s="310"/>
      <c r="L42" s="310"/>
      <c r="M42" s="310"/>
      <c r="N42" s="310"/>
      <c r="O42" s="311">
        <f t="shared" si="6"/>
        <v>1500000</v>
      </c>
    </row>
    <row r="43" spans="1:15" s="300" customFormat="1" ht="18" customHeight="1" x14ac:dyDescent="0.35">
      <c r="A43" s="331" t="s">
        <v>278</v>
      </c>
      <c r="B43" s="310" t="s">
        <v>263</v>
      </c>
      <c r="C43" s="310"/>
      <c r="D43" s="332">
        <v>100000</v>
      </c>
      <c r="E43" s="310"/>
      <c r="F43" s="310"/>
      <c r="G43" s="310">
        <v>100000</v>
      </c>
      <c r="H43" s="310"/>
      <c r="I43" s="310"/>
      <c r="J43" s="310"/>
      <c r="K43" s="310"/>
      <c r="L43" s="310"/>
      <c r="M43" s="310"/>
      <c r="N43" s="310"/>
      <c r="O43" s="311">
        <f t="shared" si="6"/>
        <v>200000</v>
      </c>
    </row>
    <row r="44" spans="1:15" s="300" customFormat="1" ht="18" customHeight="1" x14ac:dyDescent="0.35">
      <c r="A44" s="331" t="s">
        <v>261</v>
      </c>
      <c r="B44" s="310" t="s">
        <v>264</v>
      </c>
      <c r="C44" s="310"/>
      <c r="D44" s="310"/>
      <c r="E44" s="310"/>
      <c r="F44" s="310">
        <v>1500000</v>
      </c>
      <c r="G44" s="310"/>
      <c r="H44" s="310"/>
      <c r="I44" s="310"/>
      <c r="J44" s="310"/>
      <c r="K44" s="310"/>
      <c r="L44" s="310"/>
      <c r="M44" s="310"/>
      <c r="N44" s="310"/>
      <c r="O44" s="311">
        <f t="shared" si="6"/>
        <v>1500000</v>
      </c>
    </row>
    <row r="45" spans="1:15" s="300" customFormat="1" ht="18" customHeight="1" x14ac:dyDescent="0.35">
      <c r="A45" s="331" t="s">
        <v>265</v>
      </c>
      <c r="B45" s="310" t="s">
        <v>282</v>
      </c>
      <c r="C45" s="310"/>
      <c r="D45" s="310"/>
      <c r="E45" s="310">
        <f>90000</f>
        <v>90000</v>
      </c>
      <c r="F45" s="310"/>
      <c r="G45" s="310"/>
      <c r="H45" s="310"/>
      <c r="I45" s="310"/>
      <c r="J45" s="310"/>
      <c r="K45" s="310"/>
      <c r="L45" s="310"/>
      <c r="M45" s="310"/>
      <c r="N45" s="310"/>
      <c r="O45" s="311">
        <f t="shared" si="6"/>
        <v>90000</v>
      </c>
    </row>
    <row r="46" spans="1:15" s="300" customFormat="1" ht="18" customHeight="1" x14ac:dyDescent="0.35">
      <c r="A46" s="331" t="s">
        <v>266</v>
      </c>
      <c r="B46" s="310" t="s">
        <v>267</v>
      </c>
      <c r="C46" s="310"/>
      <c r="D46" s="310">
        <v>200000</v>
      </c>
      <c r="E46" s="310"/>
      <c r="F46" s="310"/>
      <c r="G46" s="310"/>
      <c r="H46" s="310"/>
      <c r="I46" s="310"/>
      <c r="J46" s="310"/>
      <c r="K46" s="310"/>
      <c r="L46" s="310"/>
      <c r="M46" s="310"/>
      <c r="N46" s="310"/>
      <c r="O46" s="311">
        <f t="shared" si="6"/>
        <v>200000</v>
      </c>
    </row>
    <row r="47" spans="1:15" s="300" customFormat="1" ht="18" customHeight="1" x14ac:dyDescent="0.35">
      <c r="A47" s="331" t="s">
        <v>268</v>
      </c>
      <c r="B47" s="310" t="s">
        <v>269</v>
      </c>
      <c r="C47" s="310"/>
      <c r="D47" s="310">
        <v>80000</v>
      </c>
      <c r="E47" s="310"/>
      <c r="F47" s="310"/>
      <c r="G47" s="310"/>
      <c r="H47" s="310"/>
      <c r="I47" s="310"/>
      <c r="J47" s="310"/>
      <c r="K47" s="310"/>
      <c r="L47" s="310"/>
      <c r="M47" s="310"/>
      <c r="N47" s="310"/>
      <c r="O47" s="311">
        <f t="shared" si="6"/>
        <v>80000</v>
      </c>
    </row>
    <row r="48" spans="1:15" s="300" customFormat="1" ht="41.25" customHeight="1" x14ac:dyDescent="0.35">
      <c r="A48" s="331" t="s">
        <v>270</v>
      </c>
      <c r="B48" s="312" t="s">
        <v>271</v>
      </c>
      <c r="C48" s="310"/>
      <c r="D48" s="310">
        <v>1000000</v>
      </c>
      <c r="E48" s="310"/>
      <c r="F48" s="310"/>
      <c r="G48" s="310"/>
      <c r="H48" s="310"/>
      <c r="I48" s="310"/>
      <c r="J48" s="310"/>
      <c r="K48" s="310"/>
      <c r="L48" s="310"/>
      <c r="M48" s="310"/>
      <c r="N48" s="310"/>
      <c r="O48" s="311">
        <f t="shared" si="6"/>
        <v>1000000</v>
      </c>
    </row>
    <row r="49" spans="1:15" s="300" customFormat="1" ht="21.75" customHeight="1" x14ac:dyDescent="0.35">
      <c r="A49" s="308" t="s">
        <v>272</v>
      </c>
      <c r="B49" s="310" t="s">
        <v>251</v>
      </c>
      <c r="C49" s="310"/>
      <c r="D49" s="310"/>
      <c r="E49" s="310"/>
      <c r="F49" s="310"/>
      <c r="G49" s="310"/>
      <c r="H49" s="310"/>
      <c r="I49" s="310">
        <v>1000000</v>
      </c>
      <c r="J49" s="310">
        <v>500000</v>
      </c>
      <c r="K49" s="310"/>
      <c r="L49" s="310"/>
      <c r="M49" s="310"/>
      <c r="N49" s="310"/>
      <c r="O49" s="311">
        <f t="shared" si="6"/>
        <v>1500000</v>
      </c>
    </row>
    <row r="50" spans="1:15" s="300" customFormat="1" ht="18" customHeight="1" x14ac:dyDescent="0.35">
      <c r="A50" s="313" t="s">
        <v>259</v>
      </c>
      <c r="B50" s="325"/>
      <c r="C50" s="315">
        <f>SUM(C41:C49)</f>
        <v>0</v>
      </c>
      <c r="D50" s="315">
        <f t="shared" ref="D50:O50" si="7">SUM(D41:D49)</f>
        <v>1380000</v>
      </c>
      <c r="E50" s="315">
        <f t="shared" si="7"/>
        <v>90000</v>
      </c>
      <c r="F50" s="315">
        <f t="shared" si="7"/>
        <v>3000000</v>
      </c>
      <c r="G50" s="315">
        <f t="shared" si="7"/>
        <v>100000</v>
      </c>
      <c r="H50" s="315">
        <f t="shared" si="7"/>
        <v>0</v>
      </c>
      <c r="I50" s="315">
        <f t="shared" si="7"/>
        <v>1000000</v>
      </c>
      <c r="J50" s="315">
        <f t="shared" si="7"/>
        <v>500000</v>
      </c>
      <c r="K50" s="315">
        <f t="shared" si="7"/>
        <v>0</v>
      </c>
      <c r="L50" s="315">
        <f t="shared" si="7"/>
        <v>0</v>
      </c>
      <c r="M50" s="315">
        <f t="shared" si="7"/>
        <v>0</v>
      </c>
      <c r="N50" s="315">
        <f t="shared" si="7"/>
        <v>0</v>
      </c>
      <c r="O50" s="316">
        <f t="shared" si="7"/>
        <v>6070000</v>
      </c>
    </row>
    <row r="51" spans="1:15" s="300" customFormat="1" ht="18" customHeight="1" x14ac:dyDescent="0.35">
      <c r="A51" s="317"/>
      <c r="B51" s="326"/>
      <c r="C51" s="319"/>
      <c r="D51" s="319"/>
      <c r="E51" s="319"/>
      <c r="F51" s="319"/>
      <c r="G51" s="319"/>
      <c r="H51" s="319"/>
      <c r="I51" s="319"/>
      <c r="J51" s="319"/>
      <c r="K51" s="319"/>
      <c r="L51" s="319"/>
      <c r="M51" s="319"/>
      <c r="N51" s="319"/>
      <c r="O51" s="320"/>
    </row>
    <row r="52" spans="1:15" s="300" customFormat="1" ht="18" customHeight="1" x14ac:dyDescent="0.35">
      <c r="A52" s="333" t="s">
        <v>273</v>
      </c>
      <c r="B52" s="334"/>
      <c r="C52" s="335">
        <f t="shared" ref="C52:O52" si="8">+C16+C27+C32+C39+C50</f>
        <v>0</v>
      </c>
      <c r="D52" s="335">
        <f t="shared" si="8"/>
        <v>2333000</v>
      </c>
      <c r="E52" s="335">
        <f t="shared" si="8"/>
        <v>240000</v>
      </c>
      <c r="F52" s="335">
        <f t="shared" si="8"/>
        <v>3000000</v>
      </c>
      <c r="G52" s="335">
        <f t="shared" si="8"/>
        <v>310000</v>
      </c>
      <c r="H52" s="335">
        <f t="shared" si="8"/>
        <v>919000</v>
      </c>
      <c r="I52" s="335">
        <f t="shared" si="8"/>
        <v>1000000</v>
      </c>
      <c r="J52" s="335">
        <f t="shared" si="8"/>
        <v>938000</v>
      </c>
      <c r="K52" s="335">
        <f t="shared" si="8"/>
        <v>0</v>
      </c>
      <c r="L52" s="335">
        <f t="shared" si="8"/>
        <v>319000</v>
      </c>
      <c r="M52" s="335">
        <f t="shared" si="8"/>
        <v>0</v>
      </c>
      <c r="N52" s="335">
        <f t="shared" si="8"/>
        <v>0</v>
      </c>
      <c r="O52" s="335">
        <f t="shared" si="8"/>
        <v>9059000</v>
      </c>
    </row>
    <row r="53" spans="1:15" x14ac:dyDescent="0.45">
      <c r="A53" s="336" t="s">
        <v>274</v>
      </c>
    </row>
    <row r="54" spans="1:15" x14ac:dyDescent="0.45">
      <c r="A54" s="336">
        <v>1</v>
      </c>
      <c r="B54" s="337" t="s">
        <v>275</v>
      </c>
    </row>
    <row r="55" spans="1:15" x14ac:dyDescent="0.45">
      <c r="A55" s="336">
        <v>2</v>
      </c>
      <c r="B55" s="337" t="s">
        <v>276</v>
      </c>
    </row>
    <row r="56" spans="1:15" x14ac:dyDescent="0.45">
      <c r="A56" s="336"/>
    </row>
    <row r="57" spans="1:15" x14ac:dyDescent="0.45">
      <c r="A57" s="338"/>
    </row>
  </sheetData>
  <mergeCells count="2">
    <mergeCell ref="A1:O1"/>
    <mergeCell ref="A2:O2"/>
  </mergeCells>
  <printOptions horizontalCentered="1"/>
  <pageMargins left="0.12" right="0.59" top="0.33" bottom="0.75" header="0.3" footer="0.3"/>
  <pageSetup paperSize="9" scale="43"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37"/>
  <sheetViews>
    <sheetView showGridLines="0" workbookViewId="0">
      <pane xSplit="1" ySplit="10" topLeftCell="K11" activePane="bottomRight" state="frozen"/>
      <selection pane="topRight"/>
      <selection pane="bottomLeft"/>
      <selection pane="bottomRight" activeCell="G19" sqref="G19:N20"/>
    </sheetView>
  </sheetViews>
  <sheetFormatPr defaultColWidth="10" defaultRowHeight="15.5" x14ac:dyDescent="0.35"/>
  <cols>
    <col min="1" max="1" width="51" style="1" customWidth="1"/>
    <col min="2" max="2" width="18.1796875" style="2" hidden="1" customWidth="1"/>
    <col min="3" max="6" width="12.453125" style="2" hidden="1" customWidth="1"/>
    <col min="7" max="8" width="17.1796875" style="2" customWidth="1"/>
    <col min="9" max="14" width="17.1796875" style="3" customWidth="1"/>
    <col min="15" max="15" width="12.54296875" hidden="1" customWidth="1"/>
  </cols>
  <sheetData>
    <row r="1" spans="1:15" hidden="1" x14ac:dyDescent="0.35"/>
    <row r="2" spans="1:15" hidden="1" x14ac:dyDescent="0.35"/>
    <row r="3" spans="1:15" hidden="1" x14ac:dyDescent="0.35"/>
    <row r="4" spans="1:15" hidden="1" x14ac:dyDescent="0.35"/>
    <row r="5" spans="1:15" hidden="1" x14ac:dyDescent="0.35"/>
    <row r="6" spans="1:15" hidden="1" x14ac:dyDescent="0.35"/>
    <row r="7" spans="1:15" hidden="1" x14ac:dyDescent="0.35"/>
    <row r="8" spans="1:15" ht="21" customHeight="1" x14ac:dyDescent="0.5">
      <c r="A8" s="581" t="s">
        <v>132</v>
      </c>
      <c r="B8" s="582"/>
      <c r="C8" s="582"/>
      <c r="D8" s="582"/>
      <c r="E8" s="582"/>
      <c r="F8" s="582"/>
      <c r="G8" s="582"/>
      <c r="H8" s="582"/>
      <c r="I8" s="582"/>
      <c r="J8" s="582"/>
      <c r="K8" s="582"/>
      <c r="L8" s="582"/>
      <c r="M8" s="582"/>
      <c r="N8" s="583"/>
    </row>
    <row r="9" spans="1:15" s="1" customFormat="1" ht="21" customHeight="1" x14ac:dyDescent="0.45">
      <c r="A9" s="584" t="s">
        <v>172</v>
      </c>
      <c r="B9" s="585"/>
      <c r="C9" s="585"/>
      <c r="D9" s="585"/>
      <c r="E9" s="585"/>
      <c r="F9" s="585"/>
      <c r="G9" s="585"/>
      <c r="H9" s="585"/>
      <c r="I9" s="585"/>
      <c r="J9" s="585"/>
      <c r="K9" s="585"/>
      <c r="L9" s="585"/>
      <c r="M9" s="585"/>
      <c r="N9" s="586"/>
    </row>
    <row r="10" spans="1:15" s="4" customFormat="1" ht="21" customHeight="1" x14ac:dyDescent="0.35">
      <c r="A10" s="5"/>
      <c r="B10" s="476" t="s">
        <v>134</v>
      </c>
      <c r="C10" s="6" t="s">
        <v>135</v>
      </c>
      <c r="D10" s="6" t="s">
        <v>136</v>
      </c>
      <c r="E10" s="6" t="s">
        <v>137</v>
      </c>
      <c r="F10" s="6" t="s">
        <v>138</v>
      </c>
      <c r="G10" s="6" t="s">
        <v>117</v>
      </c>
      <c r="H10" s="6" t="s">
        <v>139</v>
      </c>
      <c r="I10" s="6" t="s">
        <v>140</v>
      </c>
      <c r="J10" s="6" t="s">
        <v>141</v>
      </c>
      <c r="K10" s="6" t="s">
        <v>142</v>
      </c>
      <c r="L10" s="6" t="s">
        <v>143</v>
      </c>
      <c r="M10" s="6" t="s">
        <v>144</v>
      </c>
      <c r="N10" s="6" t="s">
        <v>134</v>
      </c>
    </row>
    <row r="11" spans="1:15" ht="21" customHeight="1" x14ac:dyDescent="0.35">
      <c r="A11" s="7" t="s">
        <v>145</v>
      </c>
      <c r="B11" s="8">
        <v>9491688</v>
      </c>
      <c r="C11" s="9">
        <v>6019773.7400000002</v>
      </c>
      <c r="D11" s="9" t="e">
        <f>+C32</f>
        <v>#REF!</v>
      </c>
      <c r="E11" s="9" t="e">
        <f>+D32</f>
        <v>#REF!</v>
      </c>
      <c r="F11" s="9">
        <f>2532827.48+2379824-5535-307742</f>
        <v>4599374.4800000004</v>
      </c>
      <c r="G11" s="9">
        <v>2532827</v>
      </c>
      <c r="H11" s="9" t="e">
        <f t="shared" ref="H11:N11" si="0">+G32</f>
        <v>#REF!</v>
      </c>
      <c r="I11" s="9" t="e">
        <f t="shared" si="0"/>
        <v>#REF!</v>
      </c>
      <c r="J11" s="9" t="e">
        <f t="shared" si="0"/>
        <v>#REF!</v>
      </c>
      <c r="K11" s="9" t="e">
        <f t="shared" si="0"/>
        <v>#REF!</v>
      </c>
      <c r="L11" s="9" t="e">
        <f t="shared" si="0"/>
        <v>#REF!</v>
      </c>
      <c r="M11" s="9" t="e">
        <f t="shared" si="0"/>
        <v>#REF!</v>
      </c>
      <c r="N11" s="9" t="e">
        <f t="shared" si="0"/>
        <v>#REF!</v>
      </c>
    </row>
    <row r="12" spans="1:15" ht="21" customHeight="1" x14ac:dyDescent="0.45">
      <c r="A12" s="10" t="s">
        <v>203</v>
      </c>
      <c r="B12" s="477"/>
      <c r="C12" s="11"/>
      <c r="D12" s="11"/>
      <c r="E12" s="11"/>
      <c r="F12" s="11"/>
      <c r="G12" s="11"/>
      <c r="H12" s="11"/>
      <c r="I12" s="11"/>
      <c r="J12" s="11"/>
      <c r="K12" s="11"/>
      <c r="L12" s="11"/>
      <c r="M12" s="11"/>
      <c r="N12" s="11"/>
    </row>
    <row r="13" spans="1:15" ht="21" customHeight="1" x14ac:dyDescent="0.35">
      <c r="A13" s="12" t="s">
        <v>199</v>
      </c>
      <c r="B13" s="478">
        <v>9688182.3800000008</v>
      </c>
      <c r="C13" s="13" t="e">
        <f>+'Debtors and Creditors Movement'!K15</f>
        <v>#REF!</v>
      </c>
      <c r="D13" s="13" t="e">
        <f>+'Debtors and Creditors Movement'!L15</f>
        <v>#REF!</v>
      </c>
      <c r="E13" s="13" t="e">
        <f>+'Debtors and Creditors Movement'!M15</f>
        <v>#REF!</v>
      </c>
      <c r="F13" s="13" t="e">
        <f>+'Debtors and Creditors Movement'!N15</f>
        <v>#REF!</v>
      </c>
      <c r="G13" s="13" t="e">
        <f>+'Debtors and Creditors Movement'!O15</f>
        <v>#REF!</v>
      </c>
      <c r="H13" s="13" t="e">
        <f>+'Debtors and Creditors Movement'!P15</f>
        <v>#REF!</v>
      </c>
      <c r="I13" s="13" t="e">
        <f>+'Debtors and Creditors Movement'!Q15</f>
        <v>#REF!</v>
      </c>
      <c r="J13" s="13" t="e">
        <f>+'Debtors and Creditors Movement'!R15</f>
        <v>#REF!</v>
      </c>
      <c r="K13" s="13" t="e">
        <f>+'Debtors and Creditors Movement'!S15</f>
        <v>#REF!</v>
      </c>
      <c r="L13" s="13" t="e">
        <f>+'Debtors and Creditors Movement'!T15</f>
        <v>#REF!</v>
      </c>
      <c r="M13" s="13" t="e">
        <f>+'Debtors and Creditors Movement'!U15</f>
        <v>#REF!</v>
      </c>
      <c r="N13" s="13" t="e">
        <f>+'Debtors and Creditors Movement'!V15</f>
        <v>#REF!</v>
      </c>
      <c r="O13" s="14" t="e">
        <f>SUM(C13:N13)</f>
        <v>#REF!</v>
      </c>
    </row>
    <row r="14" spans="1:15" ht="21" customHeight="1" x14ac:dyDescent="0.35">
      <c r="A14" s="15" t="s">
        <v>200</v>
      </c>
      <c r="B14" s="479"/>
      <c r="C14" s="16"/>
      <c r="D14" s="16"/>
      <c r="E14" s="16"/>
      <c r="F14" s="16"/>
      <c r="G14" s="16"/>
      <c r="H14" s="16"/>
      <c r="I14" s="16"/>
      <c r="J14" s="16"/>
      <c r="K14" s="16"/>
      <c r="L14" s="16"/>
      <c r="M14" s="16"/>
      <c r="N14" s="16"/>
    </row>
    <row r="15" spans="1:15" s="17" customFormat="1" ht="21" customHeight="1" x14ac:dyDescent="0.35">
      <c r="A15" s="18" t="s">
        <v>150</v>
      </c>
      <c r="B15" s="20">
        <f t="shared" ref="B15:N15" si="1">SUM(B13:B14)</f>
        <v>9688182.3800000008</v>
      </c>
      <c r="C15" s="19" t="e">
        <f t="shared" si="1"/>
        <v>#REF!</v>
      </c>
      <c r="D15" s="20" t="e">
        <f t="shared" si="1"/>
        <v>#REF!</v>
      </c>
      <c r="E15" s="20" t="e">
        <f t="shared" si="1"/>
        <v>#REF!</v>
      </c>
      <c r="F15" s="20" t="e">
        <f t="shared" si="1"/>
        <v>#REF!</v>
      </c>
      <c r="G15" s="20" t="e">
        <f t="shared" si="1"/>
        <v>#REF!</v>
      </c>
      <c r="H15" s="20" t="e">
        <f t="shared" si="1"/>
        <v>#REF!</v>
      </c>
      <c r="I15" s="20" t="e">
        <f t="shared" si="1"/>
        <v>#REF!</v>
      </c>
      <c r="J15" s="20" t="e">
        <f t="shared" si="1"/>
        <v>#REF!</v>
      </c>
      <c r="K15" s="20" t="e">
        <f t="shared" si="1"/>
        <v>#REF!</v>
      </c>
      <c r="L15" s="20" t="e">
        <f t="shared" si="1"/>
        <v>#REF!</v>
      </c>
      <c r="M15" s="20" t="e">
        <f t="shared" si="1"/>
        <v>#REF!</v>
      </c>
      <c r="N15" s="20" t="e">
        <f t="shared" si="1"/>
        <v>#REF!</v>
      </c>
    </row>
    <row r="16" spans="1:15" s="17" customFormat="1" ht="21" customHeight="1" x14ac:dyDescent="0.35">
      <c r="A16" s="7"/>
      <c r="B16" s="480"/>
      <c r="C16" s="21"/>
      <c r="D16" s="21"/>
      <c r="E16" s="21"/>
      <c r="F16" s="21"/>
      <c r="G16" s="21"/>
      <c r="H16" s="21"/>
      <c r="I16" s="21"/>
      <c r="J16" s="21"/>
      <c r="K16" s="21"/>
      <c r="L16" s="21"/>
      <c r="M16" s="21"/>
      <c r="N16" s="21"/>
    </row>
    <row r="17" spans="1:15" s="22" customFormat="1" ht="21" customHeight="1" x14ac:dyDescent="0.45">
      <c r="A17" s="10" t="s">
        <v>201</v>
      </c>
      <c r="B17" s="481"/>
      <c r="C17" s="23"/>
      <c r="D17" s="23"/>
      <c r="E17" s="23"/>
      <c r="F17" s="23"/>
      <c r="G17" s="23"/>
      <c r="H17" s="23"/>
      <c r="I17" s="24"/>
      <c r="J17" s="24"/>
      <c r="K17" s="24"/>
      <c r="L17" s="24"/>
      <c r="M17" s="24"/>
      <c r="N17" s="24"/>
    </row>
    <row r="18" spans="1:15" ht="21" customHeight="1" x14ac:dyDescent="0.35">
      <c r="A18" s="12" t="s">
        <v>299</v>
      </c>
      <c r="B18" s="482">
        <f>+'Debtors and Creditors Movement'!K32-10000000</f>
        <v>-6631029.2051314954</v>
      </c>
      <c r="C18" s="25">
        <f>+'Debtors and Creditors Movement'!K32</f>
        <v>3368970.7948685051</v>
      </c>
      <c r="D18" s="25">
        <f>+'Debtors and Creditors Movement'!L32</f>
        <v>7105289.2783692526</v>
      </c>
      <c r="E18" s="25">
        <f>+'Debtors and Creditors Movement'!M32</f>
        <v>4790691.6114965957</v>
      </c>
      <c r="F18" s="25">
        <f>+'Debtors and Creditors Movement'!N32</f>
        <v>6386547.5204117578</v>
      </c>
      <c r="G18" s="25" t="e">
        <f>+'Debtors and Creditors Movement'!O48</f>
        <v>#REF!</v>
      </c>
      <c r="H18" s="25" t="e">
        <f>+'Debtors and Creditors Movement'!P48</f>
        <v>#REF!</v>
      </c>
      <c r="I18" s="25" t="e">
        <f>+'Debtors and Creditors Movement'!Q48</f>
        <v>#REF!</v>
      </c>
      <c r="J18" s="25" t="e">
        <f>+'Debtors and Creditors Movement'!R48</f>
        <v>#REF!</v>
      </c>
      <c r="K18" s="25" t="e">
        <f>+'Debtors and Creditors Movement'!S48</f>
        <v>#REF!</v>
      </c>
      <c r="L18" s="25" t="e">
        <f>+'Debtors and Creditors Movement'!T48</f>
        <v>#REF!</v>
      </c>
      <c r="M18" s="25" t="e">
        <f>+'Debtors and Creditors Movement'!U48</f>
        <v>#REF!</v>
      </c>
      <c r="N18" s="25" t="e">
        <f>+'Debtors and Creditors Movement'!V48</f>
        <v>#REF!</v>
      </c>
      <c r="O18" s="14" t="e">
        <f>SUM(C18:N18)</f>
        <v>#REF!</v>
      </c>
    </row>
    <row r="19" spans="1:15" s="17" customFormat="1" ht="21" customHeight="1" x14ac:dyDescent="0.35">
      <c r="A19" s="12" t="s">
        <v>300</v>
      </c>
      <c r="B19" s="483"/>
      <c r="C19" s="26" t="e">
        <f>(+#REF!+#REF!+#REF!)*0.7</f>
        <v>#REF!</v>
      </c>
      <c r="D19" s="26" t="e">
        <f>(+#REF!+#REF!+#REF!)*0.7</f>
        <v>#REF!</v>
      </c>
      <c r="E19" s="26" t="e">
        <f>(+#REF!+#REF!+#REF!)*0.7</f>
        <v>#REF!</v>
      </c>
      <c r="F19" s="26" t="e">
        <f>(+#REF!+#REF!+#REF!)*0.7</f>
        <v>#REF!</v>
      </c>
      <c r="G19" s="26" t="e">
        <f>(+#REF!)*0.7</f>
        <v>#REF!</v>
      </c>
      <c r="H19" s="26" t="e">
        <f>(+#REF!)*0.7</f>
        <v>#REF!</v>
      </c>
      <c r="I19" s="26" t="e">
        <f>(+#REF!)*0.7</f>
        <v>#REF!</v>
      </c>
      <c r="J19" s="26" t="e">
        <f>(+#REF!)*0.7</f>
        <v>#REF!</v>
      </c>
      <c r="K19" s="26" t="e">
        <f>(+#REF!)*0.7</f>
        <v>#REF!</v>
      </c>
      <c r="L19" s="26" t="e">
        <f>(+#REF!)*0.7</f>
        <v>#REF!</v>
      </c>
      <c r="M19" s="26" t="e">
        <f>(+#REF!)*0.7</f>
        <v>#REF!</v>
      </c>
      <c r="N19" s="26" t="e">
        <f>(+#REF!)*0.7</f>
        <v>#REF!</v>
      </c>
    </row>
    <row r="20" spans="1:15" s="17" customFormat="1" ht="21" customHeight="1" x14ac:dyDescent="0.35">
      <c r="A20" s="12" t="s">
        <v>301</v>
      </c>
      <c r="B20" s="483"/>
      <c r="C20" s="26" t="e">
        <f>+#REF!+(C19/0.7*0.3)</f>
        <v>#REF!</v>
      </c>
      <c r="D20" s="26" t="e">
        <f>+#REF!+(D19/0.7*0.3)</f>
        <v>#REF!</v>
      </c>
      <c r="E20" s="26" t="e">
        <f>+#REF!+(E19/0.7*0.3)</f>
        <v>#REF!</v>
      </c>
      <c r="F20" s="26" t="e">
        <f>+#REF!+(F19/0.7*0.3)</f>
        <v>#REF!</v>
      </c>
      <c r="G20" s="26" t="e">
        <f>+#REF!+(G19/0.7*0.3)</f>
        <v>#REF!</v>
      </c>
      <c r="H20" s="26" t="e">
        <f>+#REF!+(H19/0.7*0.3)</f>
        <v>#REF!</v>
      </c>
      <c r="I20" s="26" t="e">
        <f>+#REF!+(I19/0.7*0.3)</f>
        <v>#REF!</v>
      </c>
      <c r="J20" s="26" t="e">
        <f>+#REF!+(J19/0.7*0.3)</f>
        <v>#REF!</v>
      </c>
      <c r="K20" s="26" t="e">
        <f>+#REF!+(K19/0.7*0.3)</f>
        <v>#REF!</v>
      </c>
      <c r="L20" s="26" t="e">
        <f>+#REF!+(L19/0.7*0.3)</f>
        <v>#REF!</v>
      </c>
      <c r="M20" s="26" t="e">
        <f>+#REF!+(M19/0.7*0.3)</f>
        <v>#REF!</v>
      </c>
      <c r="N20" s="26" t="e">
        <f>+#REF!+(N19/0.7*0.3)</f>
        <v>#REF!</v>
      </c>
    </row>
    <row r="21" spans="1:15" ht="21" customHeight="1" x14ac:dyDescent="0.35">
      <c r="A21" s="12" t="s">
        <v>302</v>
      </c>
      <c r="B21" s="482">
        <f>+'MEIL 2012 Budget (Orig)'!B57</f>
        <v>0</v>
      </c>
      <c r="C21" s="25" t="e">
        <f>+#REF!-'Cash flow'!C20-'Cash flow'!C19</f>
        <v>#REF!</v>
      </c>
      <c r="D21" s="25" t="e">
        <f>+#REF!-'Cash flow'!D20-'Cash flow'!D19</f>
        <v>#REF!</v>
      </c>
      <c r="E21" s="25" t="e">
        <f>+#REF!-'Cash flow'!E20-'Cash flow'!E19</f>
        <v>#REF!</v>
      </c>
      <c r="F21" s="25" t="e">
        <f>+#REF!-'Cash flow'!F20-'Cash flow'!F19</f>
        <v>#REF!</v>
      </c>
      <c r="G21" s="25" t="e">
        <f>+#REF!-'Cash flow'!G20-'Cash flow'!G19</f>
        <v>#REF!</v>
      </c>
      <c r="H21" s="25" t="e">
        <f>+#REF!-'Cash flow'!H20-'Cash flow'!H19</f>
        <v>#REF!</v>
      </c>
      <c r="I21" s="25" t="e">
        <f>+#REF!-'Cash flow'!I20-'Cash flow'!I19</f>
        <v>#REF!</v>
      </c>
      <c r="J21" s="25" t="e">
        <f>+#REF!-'Cash flow'!J20-'Cash flow'!J19</f>
        <v>#REF!</v>
      </c>
      <c r="K21" s="25" t="e">
        <f>+#REF!-'Cash flow'!K20-'Cash flow'!K19</f>
        <v>#REF!</v>
      </c>
      <c r="L21" s="25" t="e">
        <f>+#REF!-'Cash flow'!L20-'Cash flow'!L19</f>
        <v>#REF!</v>
      </c>
      <c r="M21" s="25" t="e">
        <f>+#REF!-'Cash flow'!M20-'Cash flow'!M19</f>
        <v>#REF!</v>
      </c>
      <c r="N21" s="25" t="e">
        <f>+#REF!-'Cash flow'!N20-'Cash flow'!N19</f>
        <v>#REF!</v>
      </c>
      <c r="O21" s="14" t="e">
        <f>SUM(C21:N21)</f>
        <v>#REF!</v>
      </c>
    </row>
    <row r="22" spans="1:15" s="27" customFormat="1" ht="21" customHeight="1" x14ac:dyDescent="0.35">
      <c r="A22" s="15" t="s">
        <v>310</v>
      </c>
      <c r="B22" s="296"/>
      <c r="C22" s="28">
        <f>+B22</f>
        <v>0</v>
      </c>
      <c r="D22" s="28">
        <f>+C22</f>
        <v>0</v>
      </c>
      <c r="E22" s="28">
        <f>+D22</f>
        <v>0</v>
      </c>
      <c r="F22" s="28">
        <f>+E22</f>
        <v>0</v>
      </c>
      <c r="G22" s="28">
        <v>1500000</v>
      </c>
      <c r="H22" s="28">
        <f>+G22</f>
        <v>1500000</v>
      </c>
      <c r="I22" s="28">
        <f>+H22+2000000</f>
        <v>3500000</v>
      </c>
      <c r="J22" s="28">
        <f>+I22</f>
        <v>3500000</v>
      </c>
      <c r="K22" s="28">
        <f>+J22</f>
        <v>3500000</v>
      </c>
      <c r="L22" s="28">
        <f>+K22</f>
        <v>3500000</v>
      </c>
      <c r="M22" s="28">
        <f>+L22</f>
        <v>3500000</v>
      </c>
      <c r="N22" s="28">
        <f>+M22</f>
        <v>3500000</v>
      </c>
    </row>
    <row r="23" spans="1:15" s="27" customFormat="1" ht="21" customHeight="1" x14ac:dyDescent="0.35">
      <c r="A23" s="15" t="s">
        <v>205</v>
      </c>
      <c r="B23" s="296">
        <v>1235601</v>
      </c>
      <c r="C23" s="28">
        <v>371541</v>
      </c>
      <c r="D23" s="28" t="e">
        <f>+'Debtors and Creditors Movement'!K6*0.16-'Debtors and Creditors Movement'!K21*0.16</f>
        <v>#REF!</v>
      </c>
      <c r="E23" s="28" t="e">
        <f>+'Debtors and Creditors Movement'!L6*0.16-'Debtors and Creditors Movement'!L21*0.16</f>
        <v>#REF!</v>
      </c>
      <c r="F23" s="28" t="e">
        <f>+'Debtors and Creditors Movement'!M6*0.16-'Debtors and Creditors Movement'!M21*0.16</f>
        <v>#REF!</v>
      </c>
      <c r="G23" s="28">
        <v>450000</v>
      </c>
      <c r="H23" s="28" t="e">
        <f>+'Debtors and Creditors Movement'!O6*0.16-'Debtors and Creditors Movement'!O21*0.16</f>
        <v>#REF!</v>
      </c>
      <c r="I23" s="28" t="e">
        <f>+'Debtors and Creditors Movement'!P6*0.16-'Debtors and Creditors Movement'!P21*0.16</f>
        <v>#REF!</v>
      </c>
      <c r="J23" s="28" t="e">
        <f>+'Debtors and Creditors Movement'!Q6*0.16-'Debtors and Creditors Movement'!Q21*0.16</f>
        <v>#REF!</v>
      </c>
      <c r="K23" s="28" t="e">
        <f>+'Debtors and Creditors Movement'!R6*0.16-'Debtors and Creditors Movement'!R21*0.16</f>
        <v>#REF!</v>
      </c>
      <c r="L23" s="28" t="e">
        <f>+'Debtors and Creditors Movement'!S6*0.16-'Debtors and Creditors Movement'!S21*0.16</f>
        <v>#REF!</v>
      </c>
      <c r="M23" s="28" t="e">
        <f>+'Debtors and Creditors Movement'!T6*0.16-'Debtors and Creditors Movement'!T21*0.16</f>
        <v>#REF!</v>
      </c>
      <c r="N23" s="28" t="e">
        <f>+'Debtors and Creditors Movement'!U6*0.16-'Debtors and Creditors Movement'!U21*0.16</f>
        <v>#REF!</v>
      </c>
    </row>
    <row r="24" spans="1:15" s="27" customFormat="1" ht="21" customHeight="1" x14ac:dyDescent="0.35">
      <c r="A24" s="15" t="s">
        <v>332</v>
      </c>
      <c r="B24" s="296"/>
      <c r="C24" s="28"/>
      <c r="D24" s="28"/>
      <c r="E24" s="28"/>
      <c r="F24" s="28"/>
      <c r="G24" s="28"/>
      <c r="H24" s="28">
        <f>+G24+3000000</f>
        <v>3000000</v>
      </c>
      <c r="I24" s="28">
        <v>2000000</v>
      </c>
      <c r="J24" s="28">
        <f>+I24</f>
        <v>2000000</v>
      </c>
      <c r="K24" s="28">
        <f>+J24</f>
        <v>2000000</v>
      </c>
      <c r="L24" s="28">
        <f>+K24</f>
        <v>2000000</v>
      </c>
      <c r="M24" s="28">
        <v>1500000</v>
      </c>
      <c r="N24" s="28">
        <f>+M24</f>
        <v>1500000</v>
      </c>
    </row>
    <row r="25" spans="1:15" s="27" customFormat="1" ht="21" customHeight="1" x14ac:dyDescent="0.35">
      <c r="A25" s="15" t="s">
        <v>155</v>
      </c>
      <c r="B25" s="296">
        <v>273000</v>
      </c>
      <c r="C25" s="28"/>
      <c r="D25" s="28"/>
      <c r="E25" s="28"/>
      <c r="F25" s="28">
        <v>360000</v>
      </c>
      <c r="G25" s="28"/>
      <c r="H25" s="28">
        <v>360000</v>
      </c>
      <c r="I25" s="16"/>
      <c r="J25" s="16"/>
      <c r="K25" s="16">
        <v>360000</v>
      </c>
      <c r="L25" s="16"/>
      <c r="M25" s="16"/>
      <c r="N25" s="16">
        <v>360000</v>
      </c>
    </row>
    <row r="26" spans="1:15" s="27" customFormat="1" ht="21" customHeight="1" x14ac:dyDescent="0.35">
      <c r="A26" s="15" t="s">
        <v>306</v>
      </c>
      <c r="B26" s="296"/>
      <c r="C26" s="30"/>
      <c r="D26" s="28"/>
      <c r="E26" s="30"/>
      <c r="F26" s="28"/>
      <c r="G26" s="28">
        <f>+'Debtors and Creditors Movement'!O46</f>
        <v>833333.33333333337</v>
      </c>
      <c r="H26" s="28">
        <f>+'Debtors and Creditors Movement'!P46</f>
        <v>833333.33333333337</v>
      </c>
      <c r="I26" s="28">
        <f>+'Debtors and Creditors Movement'!Q46</f>
        <v>833333.33333333337</v>
      </c>
      <c r="J26" s="28">
        <f>+'Debtors and Creditors Movement'!R46</f>
        <v>833333.33333333337</v>
      </c>
      <c r="K26" s="28">
        <f>+'Debtors and Creditors Movement'!S46</f>
        <v>833333.33333333337</v>
      </c>
      <c r="L26" s="28">
        <f>+'Debtors and Creditors Movement'!T46</f>
        <v>833333.33333333337</v>
      </c>
      <c r="M26" s="28">
        <f>+'Debtors and Creditors Movement'!U46</f>
        <v>833333.33333333337</v>
      </c>
      <c r="N26" s="28">
        <f>+'Debtors and Creditors Movement'!V46</f>
        <v>833333.33333333337</v>
      </c>
    </row>
    <row r="27" spans="1:15" s="27" customFormat="1" ht="21" customHeight="1" x14ac:dyDescent="0.35">
      <c r="A27" s="15" t="s">
        <v>307</v>
      </c>
      <c r="B27" s="296"/>
      <c r="C27" s="30"/>
      <c r="D27" s="28"/>
      <c r="E27" s="30"/>
      <c r="F27" s="28"/>
      <c r="G27" s="28">
        <f>+'Debtors and Creditors Movement'!O47</f>
        <v>1500000</v>
      </c>
      <c r="H27" s="28">
        <f>+'Debtors and Creditors Movement'!P47</f>
        <v>2000000</v>
      </c>
      <c r="I27" s="28">
        <f>+'Debtors and Creditors Movement'!Q47</f>
        <v>2000000</v>
      </c>
      <c r="J27" s="28">
        <f>+'Debtors and Creditors Movement'!R47</f>
        <v>2000000</v>
      </c>
      <c r="K27" s="28">
        <f>+'Debtors and Creditors Movement'!S47</f>
        <v>2000000</v>
      </c>
      <c r="L27" s="28">
        <f>+'Debtors and Creditors Movement'!T47</f>
        <v>2000000</v>
      </c>
      <c r="M27" s="28"/>
      <c r="N27" s="28"/>
    </row>
    <row r="28" spans="1:15" s="27" customFormat="1" ht="21" customHeight="1" x14ac:dyDescent="0.35">
      <c r="A28" s="15" t="s">
        <v>319</v>
      </c>
      <c r="B28" s="296"/>
      <c r="D28" s="28">
        <f>+'CapEx Safaricom Preq'!E52</f>
        <v>240000</v>
      </c>
      <c r="F28" s="28">
        <f>+'CapEx Safaricom Preq'!G52</f>
        <v>610000</v>
      </c>
      <c r="G28" s="28">
        <v>1400000</v>
      </c>
      <c r="H28" s="28">
        <f>+'CapEx Chase Bank'!H52</f>
        <v>919000</v>
      </c>
      <c r="I28" s="28">
        <f>+'CapEx Chase Bank'!I52</f>
        <v>1000000</v>
      </c>
      <c r="J28" s="28"/>
      <c r="K28" s="28"/>
      <c r="L28" s="28"/>
      <c r="M28" s="28"/>
      <c r="N28" s="28"/>
    </row>
    <row r="29" spans="1:15" ht="21" customHeight="1" x14ac:dyDescent="0.35">
      <c r="A29" s="31" t="s">
        <v>157</v>
      </c>
      <c r="B29" s="297"/>
      <c r="C29" s="32"/>
      <c r="D29" s="32"/>
      <c r="E29" s="32"/>
      <c r="F29" s="32"/>
      <c r="G29" s="32"/>
      <c r="H29" s="32"/>
      <c r="I29" s="16"/>
      <c r="J29" s="16"/>
      <c r="K29" s="16"/>
      <c r="L29" s="16"/>
      <c r="M29" s="16"/>
      <c r="N29" s="16"/>
    </row>
    <row r="30" spans="1:15" s="17" customFormat="1" ht="21" customHeight="1" x14ac:dyDescent="0.35">
      <c r="A30" s="31" t="s">
        <v>158</v>
      </c>
      <c r="B30" s="34">
        <f>SUM(B18:B29)</f>
        <v>-5122428.2051314954</v>
      </c>
      <c r="C30" s="33" t="e">
        <f t="shared" ref="C30:N30" si="2">SUM(C18:C29)</f>
        <v>#REF!</v>
      </c>
      <c r="D30" s="34" t="e">
        <f t="shared" si="2"/>
        <v>#REF!</v>
      </c>
      <c r="E30" s="34" t="e">
        <f t="shared" si="2"/>
        <v>#REF!</v>
      </c>
      <c r="F30" s="34" t="e">
        <f t="shared" si="2"/>
        <v>#REF!</v>
      </c>
      <c r="G30" s="34" t="e">
        <f t="shared" si="2"/>
        <v>#REF!</v>
      </c>
      <c r="H30" s="34" t="e">
        <f t="shared" si="2"/>
        <v>#REF!</v>
      </c>
      <c r="I30" s="34" t="e">
        <f t="shared" si="2"/>
        <v>#REF!</v>
      </c>
      <c r="J30" s="34" t="e">
        <f t="shared" si="2"/>
        <v>#REF!</v>
      </c>
      <c r="K30" s="34" t="e">
        <f t="shared" si="2"/>
        <v>#REF!</v>
      </c>
      <c r="L30" s="34" t="e">
        <f t="shared" si="2"/>
        <v>#REF!</v>
      </c>
      <c r="M30" s="34" t="e">
        <f t="shared" si="2"/>
        <v>#REF!</v>
      </c>
      <c r="N30" s="34" t="e">
        <f t="shared" si="2"/>
        <v>#REF!</v>
      </c>
      <c r="O30" s="14" t="e">
        <f>SUM(C30:N30)</f>
        <v>#REF!</v>
      </c>
    </row>
    <row r="31" spans="1:15" s="17" customFormat="1" ht="21" hidden="1" customHeight="1" x14ac:dyDescent="0.35">
      <c r="A31" s="31" t="s">
        <v>280</v>
      </c>
      <c r="B31" s="36">
        <f>+B15-B30</f>
        <v>14810610.585131496</v>
      </c>
      <c r="C31" s="35" t="e">
        <f t="shared" ref="C31:N31" si="3">+C15-C30</f>
        <v>#REF!</v>
      </c>
      <c r="D31" s="36" t="e">
        <f t="shared" si="3"/>
        <v>#REF!</v>
      </c>
      <c r="E31" s="36" t="e">
        <f t="shared" si="3"/>
        <v>#REF!</v>
      </c>
      <c r="F31" s="36" t="e">
        <f t="shared" si="3"/>
        <v>#REF!</v>
      </c>
      <c r="G31" s="36" t="e">
        <f t="shared" si="3"/>
        <v>#REF!</v>
      </c>
      <c r="H31" s="36" t="e">
        <f t="shared" si="3"/>
        <v>#REF!</v>
      </c>
      <c r="I31" s="36" t="e">
        <f t="shared" si="3"/>
        <v>#REF!</v>
      </c>
      <c r="J31" s="36" t="e">
        <f t="shared" si="3"/>
        <v>#REF!</v>
      </c>
      <c r="K31" s="36" t="e">
        <f t="shared" si="3"/>
        <v>#REF!</v>
      </c>
      <c r="L31" s="36" t="e">
        <f t="shared" si="3"/>
        <v>#REF!</v>
      </c>
      <c r="M31" s="36" t="e">
        <f t="shared" si="3"/>
        <v>#REF!</v>
      </c>
      <c r="N31" s="36" t="e">
        <f t="shared" si="3"/>
        <v>#REF!</v>
      </c>
    </row>
    <row r="32" spans="1:15" ht="21" customHeight="1" x14ac:dyDescent="0.35">
      <c r="A32" s="37" t="s">
        <v>160</v>
      </c>
      <c r="B32" s="39">
        <f>+B11+B31</f>
        <v>24302298.585131496</v>
      </c>
      <c r="C32" s="38" t="e">
        <f t="shared" ref="C32:N32" si="4">+C11+C31</f>
        <v>#REF!</v>
      </c>
      <c r="D32" s="39" t="e">
        <f t="shared" si="4"/>
        <v>#REF!</v>
      </c>
      <c r="E32" s="39" t="e">
        <f t="shared" si="4"/>
        <v>#REF!</v>
      </c>
      <c r="F32" s="39" t="e">
        <f t="shared" si="4"/>
        <v>#REF!</v>
      </c>
      <c r="G32" s="39" t="e">
        <f t="shared" si="4"/>
        <v>#REF!</v>
      </c>
      <c r="H32" s="39" t="e">
        <f t="shared" si="4"/>
        <v>#REF!</v>
      </c>
      <c r="I32" s="39" t="e">
        <f t="shared" si="4"/>
        <v>#REF!</v>
      </c>
      <c r="J32" s="39" t="e">
        <f t="shared" si="4"/>
        <v>#REF!</v>
      </c>
      <c r="K32" s="39" t="e">
        <f t="shared" si="4"/>
        <v>#REF!</v>
      </c>
      <c r="L32" s="39" t="e">
        <f t="shared" si="4"/>
        <v>#REF!</v>
      </c>
      <c r="M32" s="39" t="e">
        <f t="shared" si="4"/>
        <v>#REF!</v>
      </c>
      <c r="N32" s="39" t="e">
        <f t="shared" si="4"/>
        <v>#REF!</v>
      </c>
    </row>
    <row r="33" spans="1:14" s="3" customFormat="1" ht="21" customHeight="1" x14ac:dyDescent="0.35">
      <c r="A33" s="40"/>
      <c r="F33" s="41">
        <v>2532827</v>
      </c>
      <c r="N33" s="41"/>
    </row>
    <row r="34" spans="1:14" s="3" customFormat="1" ht="30" customHeight="1" x14ac:dyDescent="0.35">
      <c r="A34" s="42" t="s">
        <v>325</v>
      </c>
      <c r="B34" s="43"/>
      <c r="C34" s="43"/>
      <c r="D34" s="43"/>
      <c r="E34" s="43"/>
      <c r="F34" s="44" t="e">
        <f>+F33-F32</f>
        <v>#REF!</v>
      </c>
      <c r="G34" s="45" t="s">
        <v>320</v>
      </c>
      <c r="H34" s="45" t="s">
        <v>326</v>
      </c>
      <c r="I34" s="45" t="s">
        <v>327</v>
      </c>
      <c r="J34" s="43"/>
      <c r="K34" s="43"/>
      <c r="L34" s="43"/>
      <c r="M34" s="43"/>
      <c r="N34" s="43"/>
    </row>
    <row r="35" spans="1:14" ht="21" customHeight="1" x14ac:dyDescent="0.35"/>
    <row r="36" spans="1:14" s="46" customFormat="1" x14ac:dyDescent="0.35">
      <c r="A36" s="1"/>
      <c r="B36" s="2"/>
      <c r="C36" s="2"/>
      <c r="D36" s="2"/>
      <c r="E36" s="2"/>
      <c r="F36" s="2"/>
      <c r="G36" s="2"/>
      <c r="H36" s="2"/>
      <c r="I36" s="3"/>
      <c r="J36" s="3"/>
      <c r="K36" s="3"/>
      <c r="L36" s="3"/>
      <c r="M36" s="3"/>
      <c r="N36" s="3"/>
    </row>
    <row r="37" spans="1:14" s="46" customFormat="1" x14ac:dyDescent="0.35">
      <c r="A37" s="1"/>
      <c r="B37" s="2"/>
      <c r="C37" s="2"/>
      <c r="D37" s="2"/>
      <c r="E37" s="2"/>
      <c r="F37" s="2"/>
      <c r="G37" s="2"/>
      <c r="H37" s="2"/>
      <c r="I37" s="3"/>
      <c r="J37" s="3"/>
      <c r="K37" s="3"/>
      <c r="L37" s="3"/>
      <c r="M37" s="3"/>
      <c r="N37" s="3"/>
    </row>
  </sheetData>
  <mergeCells count="2">
    <mergeCell ref="A8:N8"/>
    <mergeCell ref="A9:N9"/>
  </mergeCells>
  <printOptions horizontalCentered="1"/>
  <pageMargins left="0.11811023622047245" right="0.59055118110236227" top="0.35433070866141736" bottom="0.43307086614173229" header="0.31496062992125984" footer="0.6692913385826772"/>
  <pageSetup paperSize="9" scale="74" orientation="landscape"/>
  <headerFooter>
    <oddFooter>&amp;LMEIL CashFlow Projection 2012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13"/>
  <sheetViews>
    <sheetView showGridLines="0" workbookViewId="0">
      <selection sqref="A1:F13"/>
    </sheetView>
  </sheetViews>
  <sheetFormatPr defaultColWidth="10" defaultRowHeight="14.5" x14ac:dyDescent="0.35"/>
  <cols>
    <col min="1" max="1" width="27.26953125" customWidth="1"/>
    <col min="2" max="5" width="17.26953125" customWidth="1"/>
    <col min="6" max="7" width="21" customWidth="1"/>
    <col min="8" max="14" width="17" customWidth="1"/>
  </cols>
  <sheetData>
    <row r="1" spans="1:14" ht="18.75" customHeight="1" x14ac:dyDescent="0.45">
      <c r="A1" s="608" t="s">
        <v>333</v>
      </c>
      <c r="B1" s="609"/>
      <c r="C1" s="609"/>
      <c r="D1" s="609"/>
      <c r="E1" s="609"/>
      <c r="F1" s="609"/>
      <c r="G1" s="610" t="s">
        <v>346</v>
      </c>
      <c r="H1" s="610"/>
      <c r="I1" s="610"/>
      <c r="J1" s="610"/>
      <c r="K1" s="610"/>
      <c r="L1" s="610"/>
      <c r="M1" s="610"/>
      <c r="N1" s="610"/>
    </row>
    <row r="2" spans="1:14" x14ac:dyDescent="0.35">
      <c r="A2" s="484"/>
      <c r="B2" s="485" t="s">
        <v>334</v>
      </c>
      <c r="C2" s="486" t="s">
        <v>335</v>
      </c>
      <c r="D2" s="487" t="s">
        <v>336</v>
      </c>
      <c r="E2" s="488" t="s">
        <v>337</v>
      </c>
      <c r="F2" s="489" t="s">
        <v>345</v>
      </c>
      <c r="G2" s="489" t="s">
        <v>344</v>
      </c>
      <c r="H2" s="489" t="s">
        <v>139</v>
      </c>
      <c r="I2" s="489" t="s">
        <v>140</v>
      </c>
      <c r="J2" s="489" t="s">
        <v>141</v>
      </c>
      <c r="K2" s="489" t="s">
        <v>142</v>
      </c>
      <c r="L2" s="489" t="s">
        <v>143</v>
      </c>
      <c r="M2" s="489" t="s">
        <v>144</v>
      </c>
      <c r="N2" s="489" t="s">
        <v>134</v>
      </c>
    </row>
    <row r="3" spans="1:14" ht="18.5" x14ac:dyDescent="0.45">
      <c r="A3" s="490" t="s">
        <v>338</v>
      </c>
      <c r="B3" s="491">
        <v>144976696.84999999</v>
      </c>
      <c r="C3" s="492">
        <f>+B3/12</f>
        <v>12081391.404166667</v>
      </c>
      <c r="D3" s="493">
        <v>65751175.890000001</v>
      </c>
      <c r="E3" s="492">
        <f>+D3/4</f>
        <v>16437793.9725</v>
      </c>
      <c r="F3" s="494">
        <f>+F6/(F5)</f>
        <v>20423436.22093023</v>
      </c>
      <c r="G3" s="494" t="e">
        <f>+G6/(G5)</f>
        <v>#REF!</v>
      </c>
      <c r="H3" s="494" t="e">
        <f>+H6/(H5)</f>
        <v>#REF!</v>
      </c>
      <c r="I3" s="494" t="e">
        <f t="shared" ref="I3:N3" si="0">+I6/(I5)</f>
        <v>#REF!</v>
      </c>
      <c r="J3" s="494" t="e">
        <f t="shared" si="0"/>
        <v>#REF!</v>
      </c>
      <c r="K3" s="494" t="e">
        <f t="shared" si="0"/>
        <v>#REF!</v>
      </c>
      <c r="L3" s="494" t="e">
        <f t="shared" si="0"/>
        <v>#REF!</v>
      </c>
      <c r="M3" s="494" t="e">
        <f t="shared" si="0"/>
        <v>#REF!</v>
      </c>
      <c r="N3" s="494" t="e">
        <f t="shared" si="0"/>
        <v>#REF!</v>
      </c>
    </row>
    <row r="4" spans="1:14" ht="18" x14ac:dyDescent="0.4">
      <c r="A4" s="495" t="s">
        <v>339</v>
      </c>
      <c r="B4" s="491">
        <v>81311014.370000005</v>
      </c>
      <c r="C4" s="492">
        <f>+B4/12</f>
        <v>6775917.8641666668</v>
      </c>
      <c r="D4" s="493">
        <v>28435095.030000001</v>
      </c>
      <c r="E4" s="492">
        <f>+D4/4</f>
        <v>7108773.7575000003</v>
      </c>
      <c r="F4" s="496">
        <f>+F3*F5</f>
        <v>8782077.5749999993</v>
      </c>
      <c r="G4" s="496" t="e">
        <f>+G3*G5</f>
        <v>#REF!</v>
      </c>
      <c r="H4" s="496" t="e">
        <f>+H3*H5</f>
        <v>#REF!</v>
      </c>
      <c r="I4" s="496" t="e">
        <f t="shared" ref="I4:N4" si="1">+I3*I5</f>
        <v>#REF!</v>
      </c>
      <c r="J4" s="496" t="e">
        <f t="shared" si="1"/>
        <v>#REF!</v>
      </c>
      <c r="K4" s="496" t="e">
        <f t="shared" si="1"/>
        <v>#REF!</v>
      </c>
      <c r="L4" s="496" t="e">
        <f t="shared" si="1"/>
        <v>#REF!</v>
      </c>
      <c r="M4" s="496" t="e">
        <f t="shared" si="1"/>
        <v>#REF!</v>
      </c>
      <c r="N4" s="496" t="e">
        <f t="shared" si="1"/>
        <v>#REF!</v>
      </c>
    </row>
    <row r="5" spans="1:14" ht="18.5" x14ac:dyDescent="0.45">
      <c r="A5" s="497" t="s">
        <v>340</v>
      </c>
      <c r="B5" s="498">
        <f>+B4/B3</f>
        <v>0.5608557522463653</v>
      </c>
      <c r="C5" s="499">
        <f>+C4/C3</f>
        <v>0.56085575224636519</v>
      </c>
      <c r="D5" s="498">
        <f>+D4/D3</f>
        <v>0.43246519389358407</v>
      </c>
      <c r="E5" s="499">
        <f>+E4/E3</f>
        <v>0.43246519389358407</v>
      </c>
      <c r="F5" s="500">
        <v>0.43</v>
      </c>
      <c r="G5" s="500" t="e">
        <f>+#REF!</f>
        <v>#REF!</v>
      </c>
      <c r="H5" s="500" t="e">
        <f>+#REF!</f>
        <v>#REF!</v>
      </c>
      <c r="I5" s="500" t="e">
        <f>+#REF!</f>
        <v>#REF!</v>
      </c>
      <c r="J5" s="500" t="e">
        <f>+#REF!</f>
        <v>#REF!</v>
      </c>
      <c r="K5" s="500" t="e">
        <f>+#REF!</f>
        <v>#REF!</v>
      </c>
      <c r="L5" s="500" t="e">
        <f>+#REF!</f>
        <v>#REF!</v>
      </c>
      <c r="M5" s="500" t="e">
        <f>+#REF!</f>
        <v>#REF!</v>
      </c>
      <c r="N5" s="500" t="e">
        <f>+#REF!</f>
        <v>#REF!</v>
      </c>
    </row>
    <row r="6" spans="1:14" ht="18.5" x14ac:dyDescent="0.45">
      <c r="A6" s="490" t="s">
        <v>341</v>
      </c>
      <c r="B6" s="501">
        <v>70878007.75999999</v>
      </c>
      <c r="C6" s="492">
        <f>+B6/12</f>
        <v>5906500.6466666656</v>
      </c>
      <c r="D6" s="493">
        <v>35128310.299999997</v>
      </c>
      <c r="E6" s="502">
        <f>+D6/4</f>
        <v>8782077.5749999993</v>
      </c>
      <c r="F6" s="494">
        <f>+E6</f>
        <v>8782077.5749999993</v>
      </c>
      <c r="G6" s="503" t="e">
        <f>+#REF!</f>
        <v>#REF!</v>
      </c>
      <c r="H6" s="503" t="e">
        <f>+#REF!</f>
        <v>#REF!</v>
      </c>
      <c r="I6" s="503" t="e">
        <f>+#REF!</f>
        <v>#REF!</v>
      </c>
      <c r="J6" s="503" t="e">
        <f>+#REF!</f>
        <v>#REF!</v>
      </c>
      <c r="K6" s="503" t="e">
        <f>+#REF!</f>
        <v>#REF!</v>
      </c>
      <c r="L6" s="503" t="e">
        <f>+#REF!</f>
        <v>#REF!</v>
      </c>
      <c r="M6" s="503" t="e">
        <f>+#REF!</f>
        <v>#REF!</v>
      </c>
      <c r="N6" s="503" t="e">
        <f>+#REF!</f>
        <v>#REF!</v>
      </c>
    </row>
    <row r="7" spans="1:14" ht="18.5" x14ac:dyDescent="0.45">
      <c r="A7" s="490" t="s">
        <v>342</v>
      </c>
      <c r="B7" s="491">
        <f t="shared" ref="B7:G7" si="2">+B4-B6</f>
        <v>10433006.610000014</v>
      </c>
      <c r="C7" s="492">
        <f t="shared" si="2"/>
        <v>869417.21750000119</v>
      </c>
      <c r="D7" s="491">
        <f t="shared" si="2"/>
        <v>-6693215.2699999958</v>
      </c>
      <c r="E7" s="492">
        <f t="shared" si="2"/>
        <v>-1673303.817499999</v>
      </c>
      <c r="F7" s="504">
        <f t="shared" si="2"/>
        <v>0</v>
      </c>
      <c r="G7" s="504" t="e">
        <f t="shared" si="2"/>
        <v>#REF!</v>
      </c>
      <c r="H7" s="504" t="e">
        <f t="shared" ref="H7:N7" si="3">+H4-H6</f>
        <v>#REF!</v>
      </c>
      <c r="I7" s="504" t="e">
        <f t="shared" si="3"/>
        <v>#REF!</v>
      </c>
      <c r="J7" s="504" t="e">
        <f t="shared" si="3"/>
        <v>#REF!</v>
      </c>
      <c r="K7" s="504" t="e">
        <f t="shared" si="3"/>
        <v>#REF!</v>
      </c>
      <c r="L7" s="504" t="e">
        <f t="shared" si="3"/>
        <v>#REF!</v>
      </c>
      <c r="M7" s="504" t="e">
        <f t="shared" si="3"/>
        <v>#REF!</v>
      </c>
      <c r="N7" s="504" t="e">
        <f t="shared" si="3"/>
        <v>#REF!</v>
      </c>
    </row>
    <row r="8" spans="1:14" x14ac:dyDescent="0.35">
      <c r="A8" s="17"/>
      <c r="F8" s="17"/>
      <c r="G8" s="17"/>
    </row>
    <row r="9" spans="1:14" ht="18.5" x14ac:dyDescent="0.45">
      <c r="A9" s="505" t="s">
        <v>343</v>
      </c>
      <c r="B9" s="506"/>
      <c r="C9" s="506"/>
      <c r="D9" s="506"/>
      <c r="E9" s="506"/>
      <c r="F9" s="507"/>
      <c r="G9" s="508"/>
    </row>
    <row r="10" spans="1:14" ht="74.25" customHeight="1" x14ac:dyDescent="0.35">
      <c r="A10" s="509">
        <v>1</v>
      </c>
      <c r="B10" s="611" t="s">
        <v>347</v>
      </c>
      <c r="C10" s="612"/>
      <c r="D10" s="612"/>
      <c r="E10" s="612"/>
      <c r="F10" s="613"/>
      <c r="G10" s="510"/>
    </row>
    <row r="11" spans="1:14" ht="18.5" x14ac:dyDescent="0.45">
      <c r="A11" s="511"/>
      <c r="B11" s="611" t="s">
        <v>348</v>
      </c>
      <c r="C11" s="612"/>
      <c r="D11" s="612"/>
      <c r="E11" s="612"/>
      <c r="F11" s="613"/>
      <c r="G11" s="512"/>
    </row>
    <row r="12" spans="1:14" ht="18.75" customHeight="1" x14ac:dyDescent="0.45">
      <c r="A12" s="513">
        <v>2</v>
      </c>
      <c r="B12" s="611"/>
      <c r="C12" s="612"/>
      <c r="D12" s="612"/>
      <c r="E12" s="612"/>
      <c r="F12" s="613"/>
      <c r="G12" s="514"/>
    </row>
    <row r="13" spans="1:14" ht="18.5" x14ac:dyDescent="0.45">
      <c r="A13" s="515"/>
      <c r="B13" s="611"/>
      <c r="C13" s="612"/>
      <c r="D13" s="612"/>
      <c r="E13" s="612"/>
      <c r="F13" s="613"/>
      <c r="G13" s="516"/>
    </row>
  </sheetData>
  <mergeCells count="4">
    <mergeCell ref="A1:F1"/>
    <mergeCell ref="G1:N1"/>
    <mergeCell ref="B10:F10"/>
    <mergeCell ref="B11:F13"/>
  </mergeCells>
  <pageMargins left="0.70866141732283472" right="0.70866141732283472" top="0.74803149606299213" bottom="0.74803149606299213" header="0.31496062992125984" footer="0.31496062992125984"/>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U74"/>
  <sheetViews>
    <sheetView showGridLines="0" zoomScale="85" workbookViewId="0">
      <pane xSplit="1" ySplit="2" topLeftCell="D3" activePane="bottomRight" state="frozen"/>
      <selection pane="topRight"/>
      <selection pane="bottomLeft"/>
      <selection pane="bottomRight" activeCell="N2" sqref="N1:N65536"/>
    </sheetView>
  </sheetViews>
  <sheetFormatPr defaultColWidth="9.1796875" defaultRowHeight="12.5" x14ac:dyDescent="0.25"/>
  <cols>
    <col min="1" max="1" width="38.81640625" style="47" customWidth="1"/>
    <col min="2" max="13" width="12.81640625" style="48" customWidth="1"/>
    <col min="14" max="14" width="15" style="49" customWidth="1"/>
    <col min="15" max="15" width="17.54296875" style="48" customWidth="1"/>
    <col min="16" max="16" width="12.7265625" style="48" bestFit="1" customWidth="1"/>
    <col min="17" max="16384" width="9.1796875" style="48"/>
  </cols>
  <sheetData>
    <row r="1" spans="1:21" ht="15.75" customHeight="1" x14ac:dyDescent="0.3">
      <c r="A1" s="50"/>
      <c r="B1" s="587" t="s">
        <v>86</v>
      </c>
      <c r="C1" s="587"/>
      <c r="D1" s="587"/>
      <c r="E1" s="587"/>
      <c r="F1" s="587"/>
      <c r="G1" s="587"/>
      <c r="H1" s="587"/>
      <c r="I1" s="587"/>
      <c r="J1" s="587"/>
      <c r="K1" s="587"/>
      <c r="L1" s="587"/>
      <c r="M1" s="587"/>
      <c r="N1" s="587"/>
    </row>
    <row r="2" spans="1:21" ht="15" x14ac:dyDescent="0.3">
      <c r="A2" s="51" t="s">
        <v>111</v>
      </c>
      <c r="B2" s="52" t="s">
        <v>118</v>
      </c>
      <c r="C2" s="52" t="s">
        <v>119</v>
      </c>
      <c r="D2" s="52" t="s">
        <v>120</v>
      </c>
      <c r="E2" s="52" t="s">
        <v>121</v>
      </c>
      <c r="F2" s="52" t="s">
        <v>117</v>
      </c>
      <c r="G2" s="52" t="s">
        <v>122</v>
      </c>
      <c r="H2" s="52" t="s">
        <v>123</v>
      </c>
      <c r="I2" s="52" t="s">
        <v>124</v>
      </c>
      <c r="J2" s="52" t="s">
        <v>125</v>
      </c>
      <c r="K2" s="52" t="s">
        <v>126</v>
      </c>
      <c r="L2" s="52" t="s">
        <v>127</v>
      </c>
      <c r="M2" s="52" t="s">
        <v>128</v>
      </c>
      <c r="N2" s="53" t="s">
        <v>0</v>
      </c>
      <c r="O2" s="52"/>
      <c r="P2" s="52"/>
      <c r="Q2" s="52"/>
      <c r="R2" s="52"/>
      <c r="S2" s="52"/>
      <c r="T2" s="52"/>
      <c r="U2" s="52"/>
    </row>
    <row r="3" spans="1:21" x14ac:dyDescent="0.25">
      <c r="A3" s="54" t="s">
        <v>104</v>
      </c>
      <c r="B3" s="517"/>
      <c r="C3" s="55"/>
      <c r="D3" s="55"/>
      <c r="E3" s="55"/>
      <c r="F3" s="55"/>
      <c r="G3" s="55"/>
      <c r="H3" s="55"/>
      <c r="I3" s="55"/>
      <c r="J3" s="55"/>
      <c r="K3" s="55"/>
      <c r="L3" s="55"/>
      <c r="M3" s="55"/>
      <c r="N3" s="518"/>
    </row>
    <row r="4" spans="1:21" x14ac:dyDescent="0.25">
      <c r="A4" s="57" t="s">
        <v>6</v>
      </c>
      <c r="B4" s="519"/>
      <c r="C4" s="58"/>
      <c r="D4" s="58"/>
      <c r="E4" s="58"/>
      <c r="F4" s="58"/>
      <c r="G4" s="58"/>
      <c r="H4" s="58"/>
      <c r="I4" s="58"/>
      <c r="J4" s="58"/>
      <c r="K4" s="58"/>
      <c r="L4" s="58"/>
      <c r="M4" s="58"/>
      <c r="N4" s="518"/>
    </row>
    <row r="5" spans="1:21" x14ac:dyDescent="0.25">
      <c r="A5" s="59" t="s">
        <v>7</v>
      </c>
      <c r="B5" s="520">
        <v>796784.76923076937</v>
      </c>
      <c r="C5" s="60">
        <v>796784.76923076937</v>
      </c>
      <c r="D5" s="60">
        <v>796784.76923076937</v>
      </c>
      <c r="E5" s="60">
        <v>954421.23076923098</v>
      </c>
      <c r="F5" s="60">
        <v>954421.23076923098</v>
      </c>
      <c r="G5" s="60">
        <v>1329748.0263328357</v>
      </c>
      <c r="H5" s="60">
        <v>1885277.1927236854</v>
      </c>
      <c r="I5" s="60">
        <v>1787308.8748421066</v>
      </c>
      <c r="J5" s="60">
        <v>1768378.7978934557</v>
      </c>
      <c r="K5" s="60">
        <v>1430848.5021435088</v>
      </c>
      <c r="L5" s="60">
        <v>1419645.1625201113</v>
      </c>
      <c r="M5" s="60">
        <v>1418409.0736127927</v>
      </c>
      <c r="N5" s="518">
        <f>SUM(B5:M5)</f>
        <v>15338812.399299266</v>
      </c>
      <c r="O5" s="63"/>
      <c r="P5" s="63"/>
      <c r="Q5" s="63"/>
      <c r="R5" s="63"/>
      <c r="S5" s="63"/>
      <c r="T5" s="63"/>
      <c r="U5" s="63"/>
    </row>
    <row r="6" spans="1:21" ht="25" x14ac:dyDescent="0.25">
      <c r="A6" s="59" t="s">
        <v>85</v>
      </c>
      <c r="B6" s="520">
        <v>1569183.6666666667</v>
      </c>
      <c r="C6" s="60">
        <v>1569183.6666666667</v>
      </c>
      <c r="D6" s="60">
        <v>1569183.6666666667</v>
      </c>
      <c r="E6" s="60">
        <v>1659759.3333333333</v>
      </c>
      <c r="F6" s="60">
        <v>3659759.3333333302</v>
      </c>
      <c r="G6" s="60">
        <v>2312460.8155548749</v>
      </c>
      <c r="H6" s="60">
        <v>3886493.1759279934</v>
      </c>
      <c r="I6" s="60">
        <v>3684531.7877706257</v>
      </c>
      <c r="J6" s="60">
        <v>3645507.4919457589</v>
      </c>
      <c r="K6" s="60">
        <v>4392794.2344794096</v>
      </c>
      <c r="L6" s="60">
        <v>4358399.2823717277</v>
      </c>
      <c r="M6" s="60">
        <v>4354604.4122528862</v>
      </c>
      <c r="N6" s="518">
        <f t="shared" ref="N6:N15" si="0">SUM(B6:M6)</f>
        <v>36661860.866969943</v>
      </c>
      <c r="O6" s="63"/>
      <c r="P6" s="63"/>
      <c r="Q6" s="63"/>
      <c r="R6" s="63"/>
      <c r="S6" s="63"/>
      <c r="T6" s="63"/>
      <c r="U6" s="63"/>
    </row>
    <row r="7" spans="1:21" x14ac:dyDescent="0.25">
      <c r="A7" s="59" t="s">
        <v>8</v>
      </c>
      <c r="B7" s="520">
        <v>2335682.2222222225</v>
      </c>
      <c r="C7" s="60">
        <v>2335682.2222222225</v>
      </c>
      <c r="D7" s="60">
        <v>2335682.2222222225</v>
      </c>
      <c r="E7" s="60">
        <f>2470501.48148148+9500000</f>
        <v>11970501.481481479</v>
      </c>
      <c r="F7" s="60">
        <v>9284105.139423348</v>
      </c>
      <c r="G7" s="60">
        <v>4808976.8845634777</v>
      </c>
      <c r="H7" s="60">
        <v>6939734.8439268749</v>
      </c>
      <c r="I7" s="60">
        <v>6357049.4817103771</v>
      </c>
      <c r="J7" s="60">
        <v>5986702.9447345044</v>
      </c>
      <c r="K7" s="60">
        <v>7369682.2392705185</v>
      </c>
      <c r="L7" s="60">
        <v>6954014.668791052</v>
      </c>
      <c r="M7" s="60">
        <v>6403204.7975798454</v>
      </c>
      <c r="N7" s="518">
        <f t="shared" si="0"/>
        <v>73081019.148148134</v>
      </c>
      <c r="O7" s="63"/>
      <c r="P7" s="63"/>
      <c r="Q7" s="63"/>
      <c r="R7" s="63"/>
      <c r="S7" s="63"/>
      <c r="T7" s="63"/>
      <c r="U7" s="63"/>
    </row>
    <row r="8" spans="1:21" ht="15.75" customHeight="1" x14ac:dyDescent="0.25">
      <c r="A8" s="521" t="s">
        <v>308</v>
      </c>
      <c r="B8" s="55"/>
      <c r="C8" s="55"/>
      <c r="D8" s="55">
        <v>1630000</v>
      </c>
      <c r="E8" s="55">
        <v>600000</v>
      </c>
      <c r="F8" s="55">
        <v>4200000</v>
      </c>
      <c r="G8" s="55">
        <v>3500000</v>
      </c>
      <c r="H8" s="55">
        <v>3800000</v>
      </c>
      <c r="I8" s="55">
        <v>4000000</v>
      </c>
      <c r="J8" s="55">
        <v>4500000</v>
      </c>
      <c r="K8" s="55">
        <v>5200000</v>
      </c>
      <c r="L8" s="55">
        <v>5800000</v>
      </c>
      <c r="M8" s="55">
        <v>6770000</v>
      </c>
      <c r="N8" s="518">
        <f t="shared" si="0"/>
        <v>40000000</v>
      </c>
      <c r="O8" s="63"/>
      <c r="P8" s="63"/>
      <c r="Q8" s="63"/>
      <c r="R8" s="63"/>
      <c r="S8" s="63"/>
      <c r="T8" s="63"/>
      <c r="U8" s="63"/>
    </row>
    <row r="9" spans="1:21" ht="15.75" customHeight="1" x14ac:dyDescent="0.25">
      <c r="A9" s="522"/>
      <c r="B9" s="523"/>
      <c r="C9" s="55"/>
      <c r="D9" s="55"/>
      <c r="E9" s="55"/>
      <c r="F9" s="55"/>
      <c r="G9" s="55"/>
      <c r="H9" s="55"/>
      <c r="I9" s="55"/>
      <c r="J9" s="55"/>
      <c r="K9" s="55"/>
      <c r="L9" s="55"/>
      <c r="M9" s="55"/>
      <c r="N9" s="518"/>
      <c r="O9" s="63"/>
      <c r="P9" s="63"/>
      <c r="Q9" s="63"/>
      <c r="R9" s="63"/>
      <c r="S9" s="63"/>
      <c r="T9" s="63"/>
      <c r="U9" s="63"/>
    </row>
    <row r="10" spans="1:21" ht="25" x14ac:dyDescent="0.25">
      <c r="A10" s="62" t="s">
        <v>99</v>
      </c>
      <c r="B10" s="520"/>
      <c r="C10" s="60"/>
      <c r="D10" s="60"/>
      <c r="E10" s="60"/>
      <c r="F10" s="60"/>
      <c r="G10" s="60"/>
      <c r="H10" s="60"/>
      <c r="I10" s="60"/>
      <c r="J10" s="60"/>
      <c r="K10" s="60"/>
      <c r="L10" s="60"/>
      <c r="M10" s="60"/>
      <c r="N10" s="518"/>
      <c r="O10" s="63"/>
      <c r="P10" s="63"/>
      <c r="Q10" s="63"/>
      <c r="R10" s="63"/>
      <c r="S10" s="63"/>
      <c r="T10" s="63"/>
      <c r="U10" s="63"/>
    </row>
    <row r="11" spans="1:21" x14ac:dyDescent="0.25">
      <c r="A11" s="59" t="s">
        <v>98</v>
      </c>
      <c r="B11" s="517">
        <v>3066304.905253496</v>
      </c>
      <c r="C11" s="55">
        <v>5820623.0269535221</v>
      </c>
      <c r="D11" s="55">
        <v>4705896.8208963173</v>
      </c>
      <c r="E11" s="55">
        <v>1404815.3636978101</v>
      </c>
      <c r="F11" s="55">
        <v>6587873.0294022998</v>
      </c>
      <c r="G11" s="55">
        <v>9175815.2510255314</v>
      </c>
      <c r="H11" s="55">
        <v>8006159.1857788712</v>
      </c>
      <c r="I11" s="55">
        <v>11032357.356189957</v>
      </c>
      <c r="J11" s="55">
        <v>13452879.349746222</v>
      </c>
      <c r="K11" s="55">
        <v>9149864.3656445909</v>
      </c>
      <c r="L11" s="55">
        <v>7640372.63221021</v>
      </c>
      <c r="M11" s="55">
        <v>10154311.61160671</v>
      </c>
      <c r="N11" s="518">
        <f t="shared" si="0"/>
        <v>90197272.898405522</v>
      </c>
      <c r="O11" s="63"/>
      <c r="P11" s="63"/>
      <c r="Q11" s="63"/>
      <c r="R11" s="63"/>
      <c r="S11" s="63"/>
      <c r="T11" s="63"/>
      <c r="U11" s="63"/>
    </row>
    <row r="12" spans="1:21" ht="21.75" customHeight="1" x14ac:dyDescent="0.25">
      <c r="A12" s="59" t="s">
        <v>97</v>
      </c>
      <c r="B12" s="519">
        <v>1115019.9655467256</v>
      </c>
      <c r="C12" s="58">
        <v>2116590.1916194628</v>
      </c>
      <c r="D12" s="58">
        <v>1711235.2075986608</v>
      </c>
      <c r="E12" s="58">
        <v>771905</v>
      </c>
      <c r="F12" s="58">
        <v>1991077.4436589722</v>
      </c>
      <c r="G12" s="58">
        <v>3274626.456624852</v>
      </c>
      <c r="H12" s="58">
        <v>3064733.6878108867</v>
      </c>
      <c r="I12" s="58">
        <v>4198593.5396026783</v>
      </c>
      <c r="J12" s="58">
        <v>5133291.3813478453</v>
      </c>
      <c r="K12" s="58">
        <v>3559911.6325740619</v>
      </c>
      <c r="L12" s="58">
        <v>3075913.433878243</v>
      </c>
      <c r="M12" s="58">
        <v>4091364.3568105362</v>
      </c>
      <c r="N12" s="518">
        <f t="shared" si="0"/>
        <v>34104262.297072932</v>
      </c>
      <c r="O12" s="63"/>
      <c r="P12" s="63"/>
      <c r="Q12" s="63"/>
      <c r="R12" s="63"/>
      <c r="S12" s="63"/>
      <c r="T12" s="63"/>
      <c r="U12" s="63"/>
    </row>
    <row r="13" spans="1:21" ht="15.75" customHeight="1" x14ac:dyDescent="0.25">
      <c r="A13" s="62" t="s">
        <v>9</v>
      </c>
      <c r="B13" s="520"/>
      <c r="C13" s="60"/>
      <c r="D13" s="60"/>
      <c r="E13" s="60"/>
      <c r="F13" s="60"/>
      <c r="G13" s="60"/>
      <c r="H13" s="60"/>
      <c r="I13" s="60"/>
      <c r="J13" s="60"/>
      <c r="K13" s="60"/>
      <c r="L13" s="60"/>
      <c r="M13" s="60"/>
      <c r="N13" s="518"/>
      <c r="O13" s="63"/>
      <c r="P13" s="63"/>
      <c r="Q13" s="63"/>
      <c r="R13" s="63"/>
      <c r="S13" s="63"/>
      <c r="T13" s="63"/>
      <c r="U13" s="63"/>
    </row>
    <row r="14" spans="1:21" customFormat="1" ht="17.25" customHeight="1" x14ac:dyDescent="0.25">
      <c r="A14" s="59" t="s">
        <v>9</v>
      </c>
      <c r="B14" s="60">
        <v>1407000</v>
      </c>
      <c r="C14" s="60">
        <v>1860184</v>
      </c>
      <c r="D14" s="60">
        <v>4396052.24</v>
      </c>
      <c r="E14" s="60">
        <v>3779854.9698448763</v>
      </c>
      <c r="F14" s="60">
        <f>2174448.91561682+400000+687722</f>
        <v>3262170.9156168201</v>
      </c>
      <c r="G14" s="60">
        <v>9733433.6530021932</v>
      </c>
      <c r="H14" s="60">
        <v>8928385.5682746079</v>
      </c>
      <c r="I14" s="60">
        <v>10352059.220905473</v>
      </c>
      <c r="J14" s="60">
        <v>8102866.544476632</v>
      </c>
      <c r="K14" s="60">
        <v>7789604.3920808947</v>
      </c>
      <c r="L14" s="60">
        <v>10280959.447803283</v>
      </c>
      <c r="M14" s="60">
        <v>9224201.540111864</v>
      </c>
      <c r="N14" s="518">
        <f t="shared" si="0"/>
        <v>79116772.492116645</v>
      </c>
      <c r="O14" s="63"/>
      <c r="P14" s="63"/>
      <c r="Q14" s="63"/>
      <c r="R14" s="63"/>
      <c r="S14" s="63"/>
      <c r="T14" s="63"/>
      <c r="U14" s="63"/>
    </row>
    <row r="15" spans="1:21" x14ac:dyDescent="0.25">
      <c r="A15" s="59" t="s">
        <v>10</v>
      </c>
      <c r="B15" s="520">
        <v>800000</v>
      </c>
      <c r="C15" s="60">
        <v>800000</v>
      </c>
      <c r="D15" s="60">
        <v>800000</v>
      </c>
      <c r="E15" s="60">
        <v>800000</v>
      </c>
      <c r="F15" s="60">
        <v>800000</v>
      </c>
      <c r="G15" s="60">
        <v>800000</v>
      </c>
      <c r="H15" s="60">
        <v>800000</v>
      </c>
      <c r="I15" s="60">
        <v>800000</v>
      </c>
      <c r="J15" s="60">
        <v>800000</v>
      </c>
      <c r="K15" s="60">
        <v>800000</v>
      </c>
      <c r="L15" s="60">
        <v>800000</v>
      </c>
      <c r="M15" s="60">
        <v>800000</v>
      </c>
      <c r="N15" s="518">
        <f t="shared" si="0"/>
        <v>9600000</v>
      </c>
    </row>
    <row r="16" spans="1:21" x14ac:dyDescent="0.25">
      <c r="A16" s="59"/>
      <c r="B16" s="524"/>
      <c r="C16" s="60"/>
      <c r="D16" s="60"/>
      <c r="E16" s="60"/>
      <c r="F16" s="60"/>
      <c r="G16" s="60"/>
      <c r="H16" s="60"/>
      <c r="I16" s="60"/>
      <c r="J16" s="60"/>
      <c r="K16" s="60"/>
      <c r="L16" s="60"/>
      <c r="M16" s="60"/>
      <c r="N16" s="518"/>
    </row>
    <row r="17" spans="1:15" s="78" customFormat="1" ht="15.75" customHeight="1" x14ac:dyDescent="0.25">
      <c r="A17" s="76"/>
      <c r="B17" s="525"/>
      <c r="C17" s="77"/>
      <c r="D17" s="77"/>
      <c r="E17" s="77"/>
      <c r="F17" s="77"/>
      <c r="G17" s="77"/>
      <c r="H17" s="77"/>
      <c r="I17" s="77"/>
      <c r="J17" s="77"/>
      <c r="K17" s="77"/>
      <c r="L17" s="77"/>
      <c r="M17" s="77"/>
      <c r="N17" s="518"/>
    </row>
    <row r="18" spans="1:15" x14ac:dyDescent="0.25">
      <c r="A18" s="54" t="s">
        <v>102</v>
      </c>
      <c r="B18" s="526">
        <f t="shared" ref="B18:L18" si="1">SUM(B5:B16)</f>
        <v>11089975.528919879</v>
      </c>
      <c r="C18" s="526">
        <f t="shared" si="1"/>
        <v>15299047.876692643</v>
      </c>
      <c r="D18" s="526">
        <f t="shared" si="1"/>
        <v>17944834.926614635</v>
      </c>
      <c r="E18" s="526">
        <f t="shared" si="1"/>
        <v>21941257.379126731</v>
      </c>
      <c r="F18" s="526">
        <f t="shared" si="1"/>
        <v>30739407.092204001</v>
      </c>
      <c r="G18" s="526">
        <f t="shared" si="1"/>
        <v>34935061.087103762</v>
      </c>
      <c r="H18" s="526">
        <f t="shared" si="1"/>
        <v>37310783.654442921</v>
      </c>
      <c r="I18" s="526">
        <f t="shared" si="1"/>
        <v>42211900.261021219</v>
      </c>
      <c r="J18" s="526">
        <f t="shared" si="1"/>
        <v>43389626.510144413</v>
      </c>
      <c r="K18" s="526">
        <f t="shared" si="1"/>
        <v>39692705.366192982</v>
      </c>
      <c r="L18" s="526">
        <f t="shared" si="1"/>
        <v>40329304.62757463</v>
      </c>
      <c r="M18" s="526">
        <f>SUM(M5:M16)</f>
        <v>43216095.791974634</v>
      </c>
      <c r="N18" s="527">
        <f>SUM(N5:N16)</f>
        <v>378100000.1020124</v>
      </c>
      <c r="O18" s="63"/>
    </row>
    <row r="19" spans="1:15" ht="19.5" customHeight="1" x14ac:dyDescent="0.25">
      <c r="A19" s="62" t="s">
        <v>43</v>
      </c>
      <c r="B19" s="528"/>
      <c r="C19" s="77"/>
      <c r="D19" s="77"/>
      <c r="E19" s="77"/>
      <c r="F19" s="77"/>
      <c r="G19" s="77"/>
      <c r="H19" s="77"/>
      <c r="I19" s="77"/>
      <c r="J19" s="77"/>
      <c r="K19" s="77"/>
      <c r="L19" s="77"/>
      <c r="M19" s="77"/>
      <c r="N19" s="518"/>
      <c r="O19" s="144"/>
    </row>
    <row r="20" spans="1:15" ht="25.5" customHeight="1" x14ac:dyDescent="0.25">
      <c r="A20" s="66" t="s">
        <v>48</v>
      </c>
      <c r="B20" s="517">
        <f>0.69*B6</f>
        <v>1082736.73</v>
      </c>
      <c r="C20" s="55">
        <f t="shared" ref="C20:M20" si="2">0.69*C6</f>
        <v>1082736.73</v>
      </c>
      <c r="D20" s="55">
        <f t="shared" si="2"/>
        <v>1082736.73</v>
      </c>
      <c r="E20" s="55">
        <f t="shared" si="2"/>
        <v>1145233.94</v>
      </c>
      <c r="F20" s="55">
        <f t="shared" si="2"/>
        <v>2525233.9399999976</v>
      </c>
      <c r="G20" s="55">
        <f t="shared" si="2"/>
        <v>1595597.9627328636</v>
      </c>
      <c r="H20" s="55">
        <f t="shared" si="2"/>
        <v>2681680.2913903152</v>
      </c>
      <c r="I20" s="55">
        <f t="shared" si="2"/>
        <v>2542326.9335617316</v>
      </c>
      <c r="J20" s="55">
        <f t="shared" si="2"/>
        <v>2515400.1694425736</v>
      </c>
      <c r="K20" s="55">
        <f t="shared" si="2"/>
        <v>3031028.0217907922</v>
      </c>
      <c r="L20" s="55">
        <f t="shared" si="2"/>
        <v>3007295.5048364918</v>
      </c>
      <c r="M20" s="55">
        <f t="shared" si="2"/>
        <v>3004677.0444544912</v>
      </c>
      <c r="N20" s="518">
        <f t="shared" ref="N20:N26" si="3">SUM(B20:M20)</f>
        <v>25296683.998209257</v>
      </c>
    </row>
    <row r="21" spans="1:15" ht="25.5" customHeight="1" x14ac:dyDescent="0.25">
      <c r="A21" s="66" t="s">
        <v>49</v>
      </c>
      <c r="B21" s="517">
        <f>0.115*B6</f>
        <v>180456.12166666667</v>
      </c>
      <c r="C21" s="55">
        <f t="shared" ref="C21:M21" si="4">0.115*C6</f>
        <v>180456.12166666667</v>
      </c>
      <c r="D21" s="55">
        <f t="shared" si="4"/>
        <v>180456.12166666667</v>
      </c>
      <c r="E21" s="55">
        <f t="shared" si="4"/>
        <v>190872.32333333333</v>
      </c>
      <c r="F21" s="55">
        <f t="shared" si="4"/>
        <v>420872.32333333301</v>
      </c>
      <c r="G21" s="55">
        <f t="shared" si="4"/>
        <v>265932.99378881062</v>
      </c>
      <c r="H21" s="55">
        <f t="shared" si="4"/>
        <v>446946.71523171925</v>
      </c>
      <c r="I21" s="55">
        <f t="shared" si="4"/>
        <v>423721.15559362195</v>
      </c>
      <c r="J21" s="55">
        <f t="shared" si="4"/>
        <v>419233.36157376232</v>
      </c>
      <c r="K21" s="55">
        <f t="shared" si="4"/>
        <v>505171.33696513216</v>
      </c>
      <c r="L21" s="55">
        <f t="shared" si="4"/>
        <v>501215.91747274873</v>
      </c>
      <c r="M21" s="55">
        <f t="shared" si="4"/>
        <v>500779.50740908191</v>
      </c>
      <c r="N21" s="518">
        <f t="shared" si="3"/>
        <v>4216113.9997015428</v>
      </c>
    </row>
    <row r="22" spans="1:15" ht="25" x14ac:dyDescent="0.25">
      <c r="A22" s="66" t="s">
        <v>50</v>
      </c>
      <c r="B22" s="517">
        <f>0.79*B7</f>
        <v>1845188.9555555559</v>
      </c>
      <c r="C22" s="55">
        <f t="shared" ref="C22:M22" si="5">0.79*C7</f>
        <v>1845188.9555555559</v>
      </c>
      <c r="D22" s="55">
        <f t="shared" si="5"/>
        <v>1845188.9555555559</v>
      </c>
      <c r="E22" s="55">
        <f t="shared" si="5"/>
        <v>9456696.1703703683</v>
      </c>
      <c r="F22" s="55">
        <f t="shared" si="5"/>
        <v>7334443.0601444449</v>
      </c>
      <c r="G22" s="55">
        <f t="shared" si="5"/>
        <v>3799091.7388051474</v>
      </c>
      <c r="H22" s="55">
        <f t="shared" si="5"/>
        <v>5482390.5267022317</v>
      </c>
      <c r="I22" s="55">
        <f t="shared" si="5"/>
        <v>5022069.0905511985</v>
      </c>
      <c r="J22" s="55">
        <f t="shared" si="5"/>
        <v>4729495.3263402591</v>
      </c>
      <c r="K22" s="55">
        <f t="shared" si="5"/>
        <v>5822048.9690237101</v>
      </c>
      <c r="L22" s="55">
        <f t="shared" si="5"/>
        <v>5493671.5883449316</v>
      </c>
      <c r="M22" s="55">
        <f t="shared" si="5"/>
        <v>5058531.790088078</v>
      </c>
      <c r="N22" s="518">
        <f t="shared" si="3"/>
        <v>57734005.127037041</v>
      </c>
    </row>
    <row r="23" spans="1:15" x14ac:dyDescent="0.25">
      <c r="A23" s="521" t="s">
        <v>309</v>
      </c>
      <c r="B23" s="517">
        <f>0.9*B8</f>
        <v>0</v>
      </c>
      <c r="C23" s="55">
        <f>0.9*C8</f>
        <v>0</v>
      </c>
      <c r="D23" s="55">
        <f>0.05*D8</f>
        <v>81500</v>
      </c>
      <c r="E23" s="55">
        <f t="shared" ref="E23:M23" si="6">0.05*E8</f>
        <v>30000</v>
      </c>
      <c r="F23" s="55">
        <f t="shared" si="6"/>
        <v>210000</v>
      </c>
      <c r="G23" s="55">
        <f t="shared" si="6"/>
        <v>175000</v>
      </c>
      <c r="H23" s="55">
        <f t="shared" si="6"/>
        <v>190000</v>
      </c>
      <c r="I23" s="55">
        <f t="shared" si="6"/>
        <v>200000</v>
      </c>
      <c r="J23" s="55">
        <f t="shared" si="6"/>
        <v>225000</v>
      </c>
      <c r="K23" s="55">
        <f t="shared" si="6"/>
        <v>260000</v>
      </c>
      <c r="L23" s="55">
        <f t="shared" si="6"/>
        <v>290000</v>
      </c>
      <c r="M23" s="55">
        <f t="shared" si="6"/>
        <v>338500</v>
      </c>
      <c r="N23" s="518">
        <f t="shared" si="3"/>
        <v>2000000</v>
      </c>
    </row>
    <row r="24" spans="1:15" ht="17.25" customHeight="1" x14ac:dyDescent="0.25">
      <c r="A24" s="66" t="s">
        <v>328</v>
      </c>
      <c r="B24" s="517">
        <f>0.44*(B11+B12)</f>
        <v>1839782.9431520973</v>
      </c>
      <c r="C24" s="55">
        <f t="shared" ref="C24:M24" si="7">0.43*(C11+C12)</f>
        <v>3413001.6839863835</v>
      </c>
      <c r="D24" s="55">
        <f t="shared" si="7"/>
        <v>2759366.7722528405</v>
      </c>
      <c r="E24" s="55">
        <v>1131004</v>
      </c>
      <c r="F24" s="55">
        <f t="shared" si="7"/>
        <v>3688948.7034163466</v>
      </c>
      <c r="G24" s="55">
        <f t="shared" si="7"/>
        <v>5353689.934289665</v>
      </c>
      <c r="H24" s="55">
        <f t="shared" si="7"/>
        <v>4760483.9356435956</v>
      </c>
      <c r="I24" s="55">
        <f t="shared" si="7"/>
        <v>6549308.8851908334</v>
      </c>
      <c r="J24" s="55">
        <f t="shared" si="7"/>
        <v>7992053.4143704483</v>
      </c>
      <c r="K24" s="55">
        <f t="shared" si="7"/>
        <v>5465203.6792340204</v>
      </c>
      <c r="L24" s="55">
        <f t="shared" si="7"/>
        <v>4608003.0084180348</v>
      </c>
      <c r="M24" s="55">
        <f t="shared" si="7"/>
        <v>6125640.6664194157</v>
      </c>
      <c r="N24" s="518">
        <f t="shared" si="3"/>
        <v>53686487.626373678</v>
      </c>
    </row>
    <row r="25" spans="1:15" ht="17.25" customHeight="1" x14ac:dyDescent="0.25">
      <c r="A25" s="66" t="s">
        <v>51</v>
      </c>
      <c r="B25" s="517">
        <f>0.4*B14</f>
        <v>562800</v>
      </c>
      <c r="C25" s="55">
        <f t="shared" ref="C25:M25" si="8">0.4*C14</f>
        <v>744073.60000000009</v>
      </c>
      <c r="D25" s="55">
        <f t="shared" si="8"/>
        <v>1758420.8960000002</v>
      </c>
      <c r="E25" s="55">
        <f t="shared" si="8"/>
        <v>1511941.9879379505</v>
      </c>
      <c r="F25" s="55">
        <f t="shared" si="8"/>
        <v>1304868.3662467282</v>
      </c>
      <c r="G25" s="55">
        <f t="shared" si="8"/>
        <v>3893373.4612008776</v>
      </c>
      <c r="H25" s="55">
        <f t="shared" si="8"/>
        <v>3571354.2273098435</v>
      </c>
      <c r="I25" s="55">
        <f t="shared" si="8"/>
        <v>4140823.6883621896</v>
      </c>
      <c r="J25" s="55">
        <f t="shared" si="8"/>
        <v>3241146.6177906529</v>
      </c>
      <c r="K25" s="55">
        <f t="shared" si="8"/>
        <v>3115841.756832358</v>
      </c>
      <c r="L25" s="55">
        <f t="shared" si="8"/>
        <v>4112383.7791213132</v>
      </c>
      <c r="M25" s="55">
        <f t="shared" si="8"/>
        <v>3689680.6160447458</v>
      </c>
      <c r="N25" s="518">
        <f t="shared" si="3"/>
        <v>31646708.996846661</v>
      </c>
    </row>
    <row r="26" spans="1:15" ht="17.25" customHeight="1" x14ac:dyDescent="0.25">
      <c r="A26" s="66" t="s">
        <v>88</v>
      </c>
      <c r="B26" s="520">
        <v>360000</v>
      </c>
      <c r="C26" s="60">
        <f>+B26</f>
        <v>360000</v>
      </c>
      <c r="D26" s="60">
        <f t="shared" ref="D26:M26" si="9">+C26</f>
        <v>360000</v>
      </c>
      <c r="E26" s="60">
        <f>+D26</f>
        <v>360000</v>
      </c>
      <c r="F26" s="60">
        <f t="shared" si="9"/>
        <v>360000</v>
      </c>
      <c r="G26" s="60">
        <f>+F26</f>
        <v>360000</v>
      </c>
      <c r="H26" s="60">
        <f t="shared" si="9"/>
        <v>360000</v>
      </c>
      <c r="I26" s="60">
        <f t="shared" si="9"/>
        <v>360000</v>
      </c>
      <c r="J26" s="60">
        <f t="shared" si="9"/>
        <v>360000</v>
      </c>
      <c r="K26" s="60">
        <f t="shared" si="9"/>
        <v>360000</v>
      </c>
      <c r="L26" s="60">
        <f t="shared" si="9"/>
        <v>360000</v>
      </c>
      <c r="M26" s="60">
        <f t="shared" si="9"/>
        <v>360000</v>
      </c>
      <c r="N26" s="518">
        <f t="shared" si="3"/>
        <v>4320000</v>
      </c>
    </row>
    <row r="27" spans="1:15" ht="17.25" customHeight="1" x14ac:dyDescent="0.25">
      <c r="A27" s="59"/>
      <c r="B27" s="60"/>
      <c r="C27" s="60"/>
      <c r="D27" s="60"/>
      <c r="E27" s="60"/>
      <c r="F27" s="60"/>
      <c r="G27" s="60"/>
      <c r="H27" s="60"/>
      <c r="I27" s="60"/>
      <c r="J27" s="60"/>
      <c r="K27" s="60"/>
      <c r="L27" s="60"/>
      <c r="M27" s="60"/>
      <c r="N27" s="518"/>
    </row>
    <row r="28" spans="1:15" s="67" customFormat="1" ht="17.25" customHeight="1" x14ac:dyDescent="0.25">
      <c r="A28" s="54" t="s">
        <v>44</v>
      </c>
      <c r="B28" s="64">
        <f t="shared" ref="B28:N28" si="10">SUM(B20:B27)</f>
        <v>5870964.75037432</v>
      </c>
      <c r="C28" s="64">
        <f t="shared" si="10"/>
        <v>7625457.0912086051</v>
      </c>
      <c r="D28" s="64">
        <f t="shared" si="10"/>
        <v>8067669.4754750635</v>
      </c>
      <c r="E28" s="64">
        <f t="shared" si="10"/>
        <v>13825748.421641652</v>
      </c>
      <c r="F28" s="64">
        <f t="shared" si="10"/>
        <v>15844366.393140851</v>
      </c>
      <c r="G28" s="64">
        <f t="shared" si="10"/>
        <v>15442686.090817366</v>
      </c>
      <c r="H28" s="64">
        <f t="shared" si="10"/>
        <v>17492855.696277708</v>
      </c>
      <c r="I28" s="64">
        <f t="shared" si="10"/>
        <v>19238249.753259573</v>
      </c>
      <c r="J28" s="64">
        <f t="shared" si="10"/>
        <v>19482328.889517698</v>
      </c>
      <c r="K28" s="64">
        <f t="shared" si="10"/>
        <v>18559293.763846014</v>
      </c>
      <c r="L28" s="64">
        <f t="shared" si="10"/>
        <v>18372569.798193522</v>
      </c>
      <c r="M28" s="64">
        <f t="shared" si="10"/>
        <v>19077809.624415811</v>
      </c>
      <c r="N28" s="527">
        <f t="shared" si="10"/>
        <v>178899999.74816817</v>
      </c>
      <c r="O28" s="103"/>
    </row>
    <row r="29" spans="1:15" s="69" customFormat="1" ht="17.25" customHeight="1" x14ac:dyDescent="0.25">
      <c r="A29" s="68"/>
      <c r="B29" s="528"/>
      <c r="C29" s="77"/>
      <c r="D29" s="77"/>
      <c r="E29" s="77"/>
      <c r="F29" s="77"/>
      <c r="G29" s="77"/>
      <c r="H29" s="77"/>
      <c r="I29" s="77"/>
      <c r="J29" s="77"/>
      <c r="K29" s="77"/>
      <c r="L29" s="77"/>
      <c r="M29" s="77"/>
      <c r="N29" s="518"/>
      <c r="O29" s="529"/>
    </row>
    <row r="30" spans="1:15" s="67" customFormat="1" ht="17.25" customHeight="1" x14ac:dyDescent="0.25">
      <c r="A30" s="54" t="s">
        <v>41</v>
      </c>
      <c r="B30" s="530">
        <f t="shared" ref="B30:N30" si="11">B18-B28</f>
        <v>5219010.7785455594</v>
      </c>
      <c r="C30" s="70">
        <f t="shared" si="11"/>
        <v>7673590.7854840383</v>
      </c>
      <c r="D30" s="70">
        <f t="shared" si="11"/>
        <v>9877165.4511395711</v>
      </c>
      <c r="E30" s="70">
        <f t="shared" si="11"/>
        <v>8115508.9574850798</v>
      </c>
      <c r="F30" s="70">
        <f t="shared" si="11"/>
        <v>14895040.69906315</v>
      </c>
      <c r="G30" s="70">
        <f t="shared" si="11"/>
        <v>19492374.996286396</v>
      </c>
      <c r="H30" s="70">
        <f t="shared" si="11"/>
        <v>19817927.958165213</v>
      </c>
      <c r="I30" s="70">
        <f t="shared" si="11"/>
        <v>22973650.507761646</v>
      </c>
      <c r="J30" s="70">
        <f t="shared" si="11"/>
        <v>23907297.620626714</v>
      </c>
      <c r="K30" s="70">
        <f t="shared" si="11"/>
        <v>21133411.602346968</v>
      </c>
      <c r="L30" s="70">
        <f t="shared" si="11"/>
        <v>21956734.829381108</v>
      </c>
      <c r="M30" s="70">
        <f t="shared" si="11"/>
        <v>24138286.167558823</v>
      </c>
      <c r="N30" s="518">
        <f t="shared" si="11"/>
        <v>199200000.35384423</v>
      </c>
      <c r="O30" s="103"/>
    </row>
    <row r="31" spans="1:15" s="531" customFormat="1" ht="17.25" customHeight="1" x14ac:dyDescent="0.35">
      <c r="A31" s="532" t="s">
        <v>105</v>
      </c>
      <c r="B31" s="533">
        <f t="shared" ref="B31:N31" si="12">B30/B18</f>
        <v>0.47060615823143037</v>
      </c>
      <c r="C31" s="534">
        <f t="shared" si="12"/>
        <v>0.50157309443905862</v>
      </c>
      <c r="D31" s="534">
        <f t="shared" si="12"/>
        <v>0.55041829537759579</v>
      </c>
      <c r="E31" s="534">
        <f t="shared" si="12"/>
        <v>0.36987437945126916</v>
      </c>
      <c r="F31" s="534">
        <f t="shared" si="12"/>
        <v>0.48455849048698041</v>
      </c>
      <c r="G31" s="534">
        <f t="shared" si="12"/>
        <v>0.55796023793076988</v>
      </c>
      <c r="H31" s="534">
        <f t="shared" si="12"/>
        <v>0.53115818047968877</v>
      </c>
      <c r="I31" s="534">
        <f t="shared" si="12"/>
        <v>0.54424582560135737</v>
      </c>
      <c r="J31" s="534">
        <f t="shared" si="12"/>
        <v>0.55099109034822491</v>
      </c>
      <c r="K31" s="534">
        <f t="shared" si="12"/>
        <v>0.53242557813523816</v>
      </c>
      <c r="L31" s="534">
        <f t="shared" si="12"/>
        <v>0.5444362364326133</v>
      </c>
      <c r="M31" s="534">
        <f t="shared" si="12"/>
        <v>0.55854851589905485</v>
      </c>
      <c r="N31" s="535">
        <f t="shared" si="12"/>
        <v>0.52684475085982418</v>
      </c>
    </row>
    <row r="32" spans="1:15" ht="17.25" customHeight="1" x14ac:dyDescent="0.25">
      <c r="A32" s="62" t="s">
        <v>106</v>
      </c>
      <c r="B32" s="520"/>
      <c r="C32" s="60"/>
      <c r="D32" s="60"/>
      <c r="E32" s="60"/>
      <c r="F32" s="60"/>
      <c r="G32" s="60"/>
      <c r="H32" s="60"/>
      <c r="I32" s="60"/>
      <c r="J32" s="60"/>
      <c r="K32" s="60"/>
      <c r="L32" s="60"/>
      <c r="M32" s="60"/>
      <c r="N32" s="518"/>
    </row>
    <row r="33" spans="1:14" ht="17.25" customHeight="1" x14ac:dyDescent="0.25">
      <c r="A33" s="59" t="s">
        <v>52</v>
      </c>
      <c r="B33" s="520">
        <v>50000</v>
      </c>
      <c r="C33" s="60">
        <f t="shared" ref="C33:M48" si="13">+B33</f>
        <v>50000</v>
      </c>
      <c r="D33" s="60">
        <f t="shared" si="13"/>
        <v>50000</v>
      </c>
      <c r="E33" s="60">
        <f>+D33</f>
        <v>50000</v>
      </c>
      <c r="F33" s="60">
        <f t="shared" si="13"/>
        <v>50000</v>
      </c>
      <c r="G33" s="60">
        <f t="shared" si="13"/>
        <v>50000</v>
      </c>
      <c r="H33" s="60">
        <f t="shared" si="13"/>
        <v>50000</v>
      </c>
      <c r="I33" s="60">
        <f t="shared" si="13"/>
        <v>50000</v>
      </c>
      <c r="J33" s="60">
        <f t="shared" si="13"/>
        <v>50000</v>
      </c>
      <c r="K33" s="60">
        <f t="shared" si="13"/>
        <v>50000</v>
      </c>
      <c r="L33" s="60">
        <f t="shared" si="13"/>
        <v>50000</v>
      </c>
      <c r="M33" s="60">
        <f t="shared" si="13"/>
        <v>50000</v>
      </c>
      <c r="N33" s="518">
        <f t="shared" ref="N33:N60" si="14">SUM(B33:M33)</f>
        <v>600000</v>
      </c>
    </row>
    <row r="34" spans="1:14" ht="17.25" customHeight="1" x14ac:dyDescent="0.25">
      <c r="A34" s="59" t="s">
        <v>12</v>
      </c>
      <c r="B34" s="520">
        <v>50000</v>
      </c>
      <c r="C34" s="60">
        <f t="shared" si="13"/>
        <v>50000</v>
      </c>
      <c r="D34" s="60">
        <f t="shared" si="13"/>
        <v>50000</v>
      </c>
      <c r="E34" s="60">
        <f t="shared" si="13"/>
        <v>50000</v>
      </c>
      <c r="F34" s="60">
        <f t="shared" si="13"/>
        <v>50000</v>
      </c>
      <c r="G34" s="60">
        <f t="shared" si="13"/>
        <v>50000</v>
      </c>
      <c r="H34" s="60">
        <f t="shared" si="13"/>
        <v>50000</v>
      </c>
      <c r="I34" s="60">
        <f t="shared" si="13"/>
        <v>50000</v>
      </c>
      <c r="J34" s="60">
        <f t="shared" si="13"/>
        <v>50000</v>
      </c>
      <c r="K34" s="60">
        <f t="shared" si="13"/>
        <v>50000</v>
      </c>
      <c r="L34" s="60">
        <f t="shared" si="13"/>
        <v>50000</v>
      </c>
      <c r="M34" s="60">
        <f t="shared" si="13"/>
        <v>50000</v>
      </c>
      <c r="N34" s="518">
        <f t="shared" si="14"/>
        <v>600000</v>
      </c>
    </row>
    <row r="35" spans="1:14" ht="17.25" customHeight="1" x14ac:dyDescent="0.25">
      <c r="A35" s="59" t="s">
        <v>13</v>
      </c>
      <c r="B35" s="520">
        <v>20833.333333333332</v>
      </c>
      <c r="C35" s="60">
        <f t="shared" si="13"/>
        <v>20833.333333333332</v>
      </c>
      <c r="D35" s="60">
        <f t="shared" si="13"/>
        <v>20833.333333333332</v>
      </c>
      <c r="E35" s="60">
        <f>+D35</f>
        <v>20833.333333333332</v>
      </c>
      <c r="F35" s="60">
        <f t="shared" si="13"/>
        <v>20833.333333333332</v>
      </c>
      <c r="G35" s="60">
        <f t="shared" si="13"/>
        <v>20833.333333333332</v>
      </c>
      <c r="H35" s="60">
        <f t="shared" si="13"/>
        <v>20833.333333333332</v>
      </c>
      <c r="I35" s="60">
        <f t="shared" si="13"/>
        <v>20833.333333333332</v>
      </c>
      <c r="J35" s="60">
        <f t="shared" si="13"/>
        <v>20833.333333333332</v>
      </c>
      <c r="K35" s="60">
        <f t="shared" si="13"/>
        <v>20833.333333333332</v>
      </c>
      <c r="L35" s="60">
        <f t="shared" si="13"/>
        <v>20833.333333333332</v>
      </c>
      <c r="M35" s="60">
        <f t="shared" si="13"/>
        <v>20833.333333333332</v>
      </c>
      <c r="N35" s="518">
        <f t="shared" si="14"/>
        <v>250000.00000000003</v>
      </c>
    </row>
    <row r="36" spans="1:14" ht="17.25" customHeight="1" x14ac:dyDescent="0.25">
      <c r="A36" s="59" t="s">
        <v>1</v>
      </c>
      <c r="B36" s="520">
        <v>100000</v>
      </c>
      <c r="C36" s="60">
        <f t="shared" si="13"/>
        <v>100000</v>
      </c>
      <c r="D36" s="60">
        <f t="shared" si="13"/>
        <v>100000</v>
      </c>
      <c r="E36" s="60">
        <f>+D36</f>
        <v>100000</v>
      </c>
      <c r="F36" s="60">
        <f t="shared" si="13"/>
        <v>100000</v>
      </c>
      <c r="G36" s="60">
        <f t="shared" si="13"/>
        <v>100000</v>
      </c>
      <c r="H36" s="60">
        <f t="shared" si="13"/>
        <v>100000</v>
      </c>
      <c r="I36" s="60">
        <f t="shared" si="13"/>
        <v>100000</v>
      </c>
      <c r="J36" s="60">
        <f t="shared" si="13"/>
        <v>100000</v>
      </c>
      <c r="K36" s="60">
        <f t="shared" si="13"/>
        <v>100000</v>
      </c>
      <c r="L36" s="60">
        <f t="shared" si="13"/>
        <v>100000</v>
      </c>
      <c r="M36" s="60">
        <f t="shared" si="13"/>
        <v>100000</v>
      </c>
      <c r="N36" s="518">
        <f t="shared" si="14"/>
        <v>1200000</v>
      </c>
    </row>
    <row r="37" spans="1:14" ht="17.25" customHeight="1" x14ac:dyDescent="0.25">
      <c r="A37" s="59" t="s">
        <v>57</v>
      </c>
      <c r="B37" s="520">
        <v>30000</v>
      </c>
      <c r="C37" s="60">
        <f t="shared" si="13"/>
        <v>30000</v>
      </c>
      <c r="D37" s="60">
        <f t="shared" si="13"/>
        <v>30000</v>
      </c>
      <c r="E37" s="60">
        <v>50000</v>
      </c>
      <c r="F37" s="60">
        <f t="shared" si="13"/>
        <v>50000</v>
      </c>
      <c r="G37" s="60">
        <f t="shared" si="13"/>
        <v>50000</v>
      </c>
      <c r="H37" s="60">
        <f t="shared" si="13"/>
        <v>50000</v>
      </c>
      <c r="I37" s="60">
        <f t="shared" si="13"/>
        <v>50000</v>
      </c>
      <c r="J37" s="60">
        <f t="shared" si="13"/>
        <v>50000</v>
      </c>
      <c r="K37" s="60">
        <f t="shared" si="13"/>
        <v>50000</v>
      </c>
      <c r="L37" s="60">
        <f t="shared" si="13"/>
        <v>50000</v>
      </c>
      <c r="M37" s="60">
        <f t="shared" si="13"/>
        <v>50000</v>
      </c>
      <c r="N37" s="518">
        <f t="shared" si="14"/>
        <v>540000</v>
      </c>
    </row>
    <row r="38" spans="1:14" ht="17.25" customHeight="1" x14ac:dyDescent="0.25">
      <c r="A38" s="59" t="s">
        <v>15</v>
      </c>
      <c r="B38" s="520">
        <v>58333.333333333336</v>
      </c>
      <c r="C38" s="60">
        <f t="shared" si="13"/>
        <v>58333.333333333336</v>
      </c>
      <c r="D38" s="60">
        <f t="shared" si="13"/>
        <v>58333.333333333336</v>
      </c>
      <c r="E38" s="60">
        <v>70000</v>
      </c>
      <c r="F38" s="60">
        <f t="shared" si="13"/>
        <v>70000</v>
      </c>
      <c r="G38" s="60">
        <f t="shared" si="13"/>
        <v>70000</v>
      </c>
      <c r="H38" s="60">
        <f t="shared" si="13"/>
        <v>70000</v>
      </c>
      <c r="I38" s="60">
        <f t="shared" si="13"/>
        <v>70000</v>
      </c>
      <c r="J38" s="60">
        <f t="shared" si="13"/>
        <v>70000</v>
      </c>
      <c r="K38" s="60">
        <f t="shared" si="13"/>
        <v>70000</v>
      </c>
      <c r="L38" s="60">
        <f t="shared" si="13"/>
        <v>70000</v>
      </c>
      <c r="M38" s="60">
        <f t="shared" si="13"/>
        <v>70000</v>
      </c>
      <c r="N38" s="518">
        <f t="shared" si="14"/>
        <v>805000</v>
      </c>
    </row>
    <row r="39" spans="1:14" ht="17.25" customHeight="1" x14ac:dyDescent="0.25">
      <c r="A39" s="59" t="s">
        <v>2</v>
      </c>
      <c r="B39" s="520">
        <v>100000</v>
      </c>
      <c r="C39" s="60">
        <f t="shared" si="13"/>
        <v>100000</v>
      </c>
      <c r="D39" s="60">
        <f t="shared" si="13"/>
        <v>100000</v>
      </c>
      <c r="E39" s="60">
        <v>200000</v>
      </c>
      <c r="F39" s="60">
        <f t="shared" si="13"/>
        <v>200000</v>
      </c>
      <c r="G39" s="60">
        <f t="shared" si="13"/>
        <v>200000</v>
      </c>
      <c r="H39" s="60">
        <f t="shared" si="13"/>
        <v>200000</v>
      </c>
      <c r="I39" s="60">
        <f t="shared" si="13"/>
        <v>200000</v>
      </c>
      <c r="J39" s="60">
        <f t="shared" si="13"/>
        <v>200000</v>
      </c>
      <c r="K39" s="60">
        <f t="shared" si="13"/>
        <v>200000</v>
      </c>
      <c r="L39" s="60">
        <f t="shared" si="13"/>
        <v>200000</v>
      </c>
      <c r="M39" s="60">
        <f t="shared" si="13"/>
        <v>200000</v>
      </c>
      <c r="N39" s="518">
        <f t="shared" si="14"/>
        <v>2100000</v>
      </c>
    </row>
    <row r="40" spans="1:14" ht="17.25" customHeight="1" x14ac:dyDescent="0.25">
      <c r="A40" s="59" t="s">
        <v>53</v>
      </c>
      <c r="B40" s="520">
        <v>5000</v>
      </c>
      <c r="C40" s="60">
        <f t="shared" si="13"/>
        <v>5000</v>
      </c>
      <c r="D40" s="60">
        <f t="shared" si="13"/>
        <v>5000</v>
      </c>
      <c r="E40" s="60">
        <v>50000</v>
      </c>
      <c r="F40" s="60">
        <f t="shared" si="13"/>
        <v>50000</v>
      </c>
      <c r="G40" s="60">
        <f t="shared" si="13"/>
        <v>50000</v>
      </c>
      <c r="H40" s="60">
        <f t="shared" si="13"/>
        <v>50000</v>
      </c>
      <c r="I40" s="60">
        <f t="shared" si="13"/>
        <v>50000</v>
      </c>
      <c r="J40" s="60">
        <f t="shared" si="13"/>
        <v>50000</v>
      </c>
      <c r="K40" s="60">
        <f t="shared" si="13"/>
        <v>50000</v>
      </c>
      <c r="L40" s="60">
        <f t="shared" si="13"/>
        <v>50000</v>
      </c>
      <c r="M40" s="60">
        <f t="shared" si="13"/>
        <v>50000</v>
      </c>
      <c r="N40" s="518">
        <f t="shared" si="14"/>
        <v>465000</v>
      </c>
    </row>
    <row r="41" spans="1:14" ht="17.25" customHeight="1" x14ac:dyDescent="0.25">
      <c r="A41" s="59" t="s">
        <v>16</v>
      </c>
      <c r="B41" s="520">
        <v>12500</v>
      </c>
      <c r="C41" s="60">
        <f t="shared" si="13"/>
        <v>12500</v>
      </c>
      <c r="D41" s="60">
        <f t="shared" si="13"/>
        <v>12500</v>
      </c>
      <c r="E41" s="60">
        <v>50000</v>
      </c>
      <c r="F41" s="60">
        <f t="shared" si="13"/>
        <v>50000</v>
      </c>
      <c r="G41" s="60">
        <f t="shared" si="13"/>
        <v>50000</v>
      </c>
      <c r="H41" s="60">
        <f t="shared" si="13"/>
        <v>50000</v>
      </c>
      <c r="I41" s="60">
        <f t="shared" si="13"/>
        <v>50000</v>
      </c>
      <c r="J41" s="60">
        <f t="shared" si="13"/>
        <v>50000</v>
      </c>
      <c r="K41" s="60">
        <f t="shared" si="13"/>
        <v>50000</v>
      </c>
      <c r="L41" s="60">
        <f t="shared" si="13"/>
        <v>50000</v>
      </c>
      <c r="M41" s="60">
        <f t="shared" si="13"/>
        <v>50000</v>
      </c>
      <c r="N41" s="518">
        <f t="shared" si="14"/>
        <v>487500</v>
      </c>
    </row>
    <row r="42" spans="1:14" ht="17.25" customHeight="1" x14ac:dyDescent="0.25">
      <c r="A42" s="59" t="s">
        <v>5</v>
      </c>
      <c r="B42" s="520">
        <v>375000</v>
      </c>
      <c r="C42" s="60">
        <f t="shared" si="13"/>
        <v>375000</v>
      </c>
      <c r="D42" s="60">
        <f t="shared" si="13"/>
        <v>375000</v>
      </c>
      <c r="E42" s="60">
        <v>475000</v>
      </c>
      <c r="F42" s="60">
        <f t="shared" si="13"/>
        <v>475000</v>
      </c>
      <c r="G42" s="60">
        <f t="shared" si="13"/>
        <v>475000</v>
      </c>
      <c r="H42" s="60">
        <f t="shared" si="13"/>
        <v>475000</v>
      </c>
      <c r="I42" s="60">
        <f t="shared" si="13"/>
        <v>475000</v>
      </c>
      <c r="J42" s="60">
        <f t="shared" si="13"/>
        <v>475000</v>
      </c>
      <c r="K42" s="60">
        <f t="shared" si="13"/>
        <v>475000</v>
      </c>
      <c r="L42" s="60">
        <f t="shared" si="13"/>
        <v>475000</v>
      </c>
      <c r="M42" s="60">
        <f t="shared" si="13"/>
        <v>475000</v>
      </c>
      <c r="N42" s="518">
        <f t="shared" si="14"/>
        <v>5400000</v>
      </c>
    </row>
    <row r="43" spans="1:14" ht="17.25" customHeight="1" x14ac:dyDescent="0.25">
      <c r="A43" s="75" t="s">
        <v>17</v>
      </c>
      <c r="B43" s="520">
        <v>20000</v>
      </c>
      <c r="C43" s="60">
        <f t="shared" si="13"/>
        <v>20000</v>
      </c>
      <c r="D43" s="60">
        <f t="shared" si="13"/>
        <v>20000</v>
      </c>
      <c r="E43" s="60">
        <v>50000</v>
      </c>
      <c r="F43" s="60">
        <f t="shared" si="13"/>
        <v>50000</v>
      </c>
      <c r="G43" s="60">
        <v>75000</v>
      </c>
      <c r="H43" s="60">
        <f t="shared" si="13"/>
        <v>75000</v>
      </c>
      <c r="I43" s="60">
        <f t="shared" si="13"/>
        <v>75000</v>
      </c>
      <c r="J43" s="60">
        <f t="shared" si="13"/>
        <v>75000</v>
      </c>
      <c r="K43" s="60">
        <f t="shared" si="13"/>
        <v>75000</v>
      </c>
      <c r="L43" s="60">
        <f t="shared" si="13"/>
        <v>75000</v>
      </c>
      <c r="M43" s="60">
        <f t="shared" si="13"/>
        <v>75000</v>
      </c>
      <c r="N43" s="518">
        <f t="shared" si="14"/>
        <v>685000</v>
      </c>
    </row>
    <row r="44" spans="1:14" ht="17.25" customHeight="1" x14ac:dyDescent="0.25">
      <c r="A44" s="59" t="s">
        <v>18</v>
      </c>
      <c r="B44" s="520">
        <v>55000</v>
      </c>
      <c r="C44" s="60">
        <f t="shared" si="13"/>
        <v>55000</v>
      </c>
      <c r="D44" s="60">
        <f t="shared" si="13"/>
        <v>55000</v>
      </c>
      <c r="E44" s="60">
        <v>75000</v>
      </c>
      <c r="F44" s="60">
        <f t="shared" si="13"/>
        <v>75000</v>
      </c>
      <c r="G44" s="60">
        <v>80000</v>
      </c>
      <c r="H44" s="60">
        <f t="shared" si="13"/>
        <v>80000</v>
      </c>
      <c r="I44" s="60">
        <f t="shared" si="13"/>
        <v>80000</v>
      </c>
      <c r="J44" s="60">
        <f t="shared" si="13"/>
        <v>80000</v>
      </c>
      <c r="K44" s="60">
        <f t="shared" si="13"/>
        <v>80000</v>
      </c>
      <c r="L44" s="60">
        <f t="shared" si="13"/>
        <v>80000</v>
      </c>
      <c r="M44" s="60">
        <f t="shared" si="13"/>
        <v>80000</v>
      </c>
      <c r="N44" s="518">
        <f t="shared" si="14"/>
        <v>875000</v>
      </c>
    </row>
    <row r="45" spans="1:14" ht="17.25" customHeight="1" x14ac:dyDescent="0.25">
      <c r="A45" s="59" t="s">
        <v>19</v>
      </c>
      <c r="B45" s="520">
        <v>50000</v>
      </c>
      <c r="C45" s="60">
        <f t="shared" si="13"/>
        <v>50000</v>
      </c>
      <c r="D45" s="60">
        <f t="shared" si="13"/>
        <v>50000</v>
      </c>
      <c r="E45" s="60">
        <v>75000</v>
      </c>
      <c r="F45" s="60">
        <f t="shared" si="13"/>
        <v>75000</v>
      </c>
      <c r="G45" s="60">
        <f t="shared" si="13"/>
        <v>75000</v>
      </c>
      <c r="H45" s="60">
        <f t="shared" si="13"/>
        <v>75000</v>
      </c>
      <c r="I45" s="60">
        <f t="shared" si="13"/>
        <v>75000</v>
      </c>
      <c r="J45" s="60">
        <f t="shared" si="13"/>
        <v>75000</v>
      </c>
      <c r="K45" s="60">
        <f t="shared" si="13"/>
        <v>75000</v>
      </c>
      <c r="L45" s="60">
        <f t="shared" si="13"/>
        <v>75000</v>
      </c>
      <c r="M45" s="60">
        <f t="shared" si="13"/>
        <v>75000</v>
      </c>
      <c r="N45" s="518">
        <f t="shared" si="14"/>
        <v>825000</v>
      </c>
    </row>
    <row r="46" spans="1:14" ht="17.25" customHeight="1" x14ac:dyDescent="0.25">
      <c r="A46" s="59" t="s">
        <v>20</v>
      </c>
      <c r="B46" s="520">
        <v>166666.66666666666</v>
      </c>
      <c r="C46" s="60">
        <f t="shared" si="13"/>
        <v>166666.66666666666</v>
      </c>
      <c r="D46" s="60">
        <f t="shared" si="13"/>
        <v>166666.66666666666</v>
      </c>
      <c r="E46" s="60">
        <v>200000</v>
      </c>
      <c r="F46" s="60">
        <f t="shared" si="13"/>
        <v>200000</v>
      </c>
      <c r="G46" s="60">
        <v>250000</v>
      </c>
      <c r="H46" s="60">
        <f t="shared" si="13"/>
        <v>250000</v>
      </c>
      <c r="I46" s="60">
        <f t="shared" si="13"/>
        <v>250000</v>
      </c>
      <c r="J46" s="60">
        <f t="shared" si="13"/>
        <v>250000</v>
      </c>
      <c r="K46" s="60">
        <f t="shared" si="13"/>
        <v>250000</v>
      </c>
      <c r="L46" s="60">
        <f t="shared" si="13"/>
        <v>250000</v>
      </c>
      <c r="M46" s="60">
        <f t="shared" si="13"/>
        <v>250000</v>
      </c>
      <c r="N46" s="518">
        <f t="shared" si="14"/>
        <v>2650000</v>
      </c>
    </row>
    <row r="47" spans="1:14" ht="17.25" customHeight="1" x14ac:dyDescent="0.25">
      <c r="A47" s="59" t="s">
        <v>21</v>
      </c>
      <c r="B47" s="520">
        <v>375000</v>
      </c>
      <c r="C47" s="60">
        <f t="shared" si="13"/>
        <v>375000</v>
      </c>
      <c r="D47" s="60">
        <f t="shared" si="13"/>
        <v>375000</v>
      </c>
      <c r="E47" s="60">
        <f>+D47</f>
        <v>375000</v>
      </c>
      <c r="F47" s="60">
        <f>+E47</f>
        <v>375000</v>
      </c>
      <c r="G47" s="60">
        <f>+F47</f>
        <v>375000</v>
      </c>
      <c r="H47" s="60">
        <v>750000</v>
      </c>
      <c r="I47" s="60">
        <f t="shared" si="13"/>
        <v>750000</v>
      </c>
      <c r="J47" s="60">
        <f t="shared" si="13"/>
        <v>750000</v>
      </c>
      <c r="K47" s="60">
        <f t="shared" si="13"/>
        <v>750000</v>
      </c>
      <c r="L47" s="60">
        <f t="shared" si="13"/>
        <v>750000</v>
      </c>
      <c r="M47" s="60">
        <f t="shared" si="13"/>
        <v>750000</v>
      </c>
      <c r="N47" s="518">
        <f t="shared" si="14"/>
        <v>6750000</v>
      </c>
    </row>
    <row r="48" spans="1:14" ht="17.25" customHeight="1" x14ac:dyDescent="0.25">
      <c r="A48" s="59" t="s">
        <v>22</v>
      </c>
      <c r="B48" s="520">
        <v>33333.333333333336</v>
      </c>
      <c r="C48" s="60">
        <f t="shared" si="13"/>
        <v>33333.333333333336</v>
      </c>
      <c r="D48" s="60">
        <f t="shared" si="13"/>
        <v>33333.333333333336</v>
      </c>
      <c r="E48" s="60">
        <v>50000</v>
      </c>
      <c r="F48" s="60">
        <f t="shared" si="13"/>
        <v>50000</v>
      </c>
      <c r="G48" s="60">
        <f t="shared" si="13"/>
        <v>50000</v>
      </c>
      <c r="H48" s="60">
        <f t="shared" si="13"/>
        <v>50000</v>
      </c>
      <c r="I48" s="60">
        <f t="shared" si="13"/>
        <v>50000</v>
      </c>
      <c r="J48" s="60">
        <f t="shared" si="13"/>
        <v>50000</v>
      </c>
      <c r="K48" s="60">
        <f t="shared" si="13"/>
        <v>50000</v>
      </c>
      <c r="L48" s="60">
        <f t="shared" si="13"/>
        <v>50000</v>
      </c>
      <c r="M48" s="60">
        <f t="shared" si="13"/>
        <v>50000</v>
      </c>
      <c r="N48" s="518">
        <f t="shared" si="14"/>
        <v>550000</v>
      </c>
    </row>
    <row r="49" spans="1:15" ht="17.25" customHeight="1" x14ac:dyDescent="0.25">
      <c r="A49" s="59" t="s">
        <v>283</v>
      </c>
      <c r="B49" s="520">
        <v>4600000</v>
      </c>
      <c r="C49" s="60">
        <v>5200000</v>
      </c>
      <c r="D49" s="60">
        <f>+C49</f>
        <v>5200000</v>
      </c>
      <c r="E49" s="60">
        <f>+D49</f>
        <v>5200000</v>
      </c>
      <c r="F49" s="60">
        <v>9000000</v>
      </c>
      <c r="G49" s="60">
        <f>+F49</f>
        <v>9000000</v>
      </c>
      <c r="H49" s="60">
        <v>10000000</v>
      </c>
      <c r="I49" s="60">
        <f>+H49</f>
        <v>10000000</v>
      </c>
      <c r="J49" s="60">
        <f>+I49</f>
        <v>10000000</v>
      </c>
      <c r="K49" s="60">
        <f>+J49</f>
        <v>10000000</v>
      </c>
      <c r="L49" s="60">
        <f>+K49</f>
        <v>10000000</v>
      </c>
      <c r="M49" s="60">
        <f>+L49</f>
        <v>10000000</v>
      </c>
      <c r="N49" s="518">
        <f t="shared" si="14"/>
        <v>98200000</v>
      </c>
    </row>
    <row r="50" spans="1:15" ht="17.25" customHeight="1" x14ac:dyDescent="0.25">
      <c r="A50" s="59" t="s">
        <v>284</v>
      </c>
      <c r="B50" s="520"/>
      <c r="C50" s="60"/>
      <c r="D50" s="60"/>
      <c r="E50" s="60"/>
      <c r="F50" s="60"/>
      <c r="G50" s="60"/>
      <c r="H50" s="60"/>
      <c r="I50" s="60"/>
      <c r="J50" s="60"/>
      <c r="K50" s="60"/>
      <c r="L50" s="60"/>
      <c r="M50" s="60"/>
      <c r="N50" s="518"/>
    </row>
    <row r="51" spans="1:15" ht="17.25" customHeight="1" x14ac:dyDescent="0.25">
      <c r="A51" s="59" t="s">
        <v>92</v>
      </c>
      <c r="B51" s="520">
        <v>300000</v>
      </c>
      <c r="C51" s="60">
        <f t="shared" ref="C51:F52" si="15">+B51</f>
        <v>300000</v>
      </c>
      <c r="D51" s="60">
        <f t="shared" si="15"/>
        <v>300000</v>
      </c>
      <c r="E51" s="60">
        <f t="shared" si="15"/>
        <v>300000</v>
      </c>
      <c r="F51" s="60">
        <f t="shared" si="15"/>
        <v>300000</v>
      </c>
      <c r="G51" s="60">
        <f>+F51</f>
        <v>300000</v>
      </c>
      <c r="H51" s="60">
        <f>+G51</f>
        <v>300000</v>
      </c>
      <c r="I51" s="60">
        <f>+H51</f>
        <v>300000</v>
      </c>
      <c r="J51" s="60">
        <f>+I51</f>
        <v>300000</v>
      </c>
      <c r="K51" s="60">
        <f t="shared" ref="K51:M52" si="16">+J51</f>
        <v>300000</v>
      </c>
      <c r="L51" s="60">
        <f t="shared" si="16"/>
        <v>300000</v>
      </c>
      <c r="M51" s="60">
        <f t="shared" si="16"/>
        <v>300000</v>
      </c>
      <c r="N51" s="518">
        <f t="shared" si="14"/>
        <v>3600000</v>
      </c>
    </row>
    <row r="52" spans="1:15" ht="17.25" customHeight="1" x14ac:dyDescent="0.25">
      <c r="A52" s="59" t="s">
        <v>87</v>
      </c>
      <c r="B52" s="520">
        <v>650000</v>
      </c>
      <c r="C52" s="60">
        <f t="shared" si="15"/>
        <v>650000</v>
      </c>
      <c r="D52" s="60">
        <f t="shared" si="15"/>
        <v>650000</v>
      </c>
      <c r="E52" s="60">
        <f t="shared" si="15"/>
        <v>650000</v>
      </c>
      <c r="F52" s="60">
        <f t="shared" si="15"/>
        <v>650000</v>
      </c>
      <c r="G52" s="60">
        <v>850000</v>
      </c>
      <c r="H52" s="60">
        <f>+G52</f>
        <v>850000</v>
      </c>
      <c r="I52" s="60">
        <f>+H52</f>
        <v>850000</v>
      </c>
      <c r="J52" s="60">
        <f>+I52</f>
        <v>850000</v>
      </c>
      <c r="K52" s="60">
        <f t="shared" si="16"/>
        <v>850000</v>
      </c>
      <c r="L52" s="60">
        <f t="shared" si="16"/>
        <v>850000</v>
      </c>
      <c r="M52" s="60">
        <f t="shared" si="16"/>
        <v>850000</v>
      </c>
      <c r="N52" s="518">
        <f t="shared" si="14"/>
        <v>9200000</v>
      </c>
      <c r="O52" s="63"/>
    </row>
    <row r="53" spans="1:15" ht="17.25" customHeight="1" x14ac:dyDescent="0.25">
      <c r="A53" s="59" t="s">
        <v>24</v>
      </c>
      <c r="B53" s="520">
        <f>0.04*(B49+B50)</f>
        <v>184000</v>
      </c>
      <c r="C53" s="60">
        <f t="shared" ref="C53:M53" si="17">0.04*(C49+C50)</f>
        <v>208000</v>
      </c>
      <c r="D53" s="60">
        <f t="shared" si="17"/>
        <v>208000</v>
      </c>
      <c r="E53" s="60">
        <f t="shared" si="17"/>
        <v>208000</v>
      </c>
      <c r="F53" s="60">
        <f t="shared" si="17"/>
        <v>360000</v>
      </c>
      <c r="G53" s="60">
        <f t="shared" si="17"/>
        <v>360000</v>
      </c>
      <c r="H53" s="60">
        <f t="shared" si="17"/>
        <v>400000</v>
      </c>
      <c r="I53" s="60">
        <f t="shared" si="17"/>
        <v>400000</v>
      </c>
      <c r="J53" s="60">
        <f t="shared" si="17"/>
        <v>400000</v>
      </c>
      <c r="K53" s="60">
        <f t="shared" si="17"/>
        <v>400000</v>
      </c>
      <c r="L53" s="60">
        <f t="shared" si="17"/>
        <v>400000</v>
      </c>
      <c r="M53" s="60">
        <f t="shared" si="17"/>
        <v>400000</v>
      </c>
      <c r="N53" s="518">
        <f t="shared" si="14"/>
        <v>3928000</v>
      </c>
    </row>
    <row r="54" spans="1:15" ht="17.25" customHeight="1" x14ac:dyDescent="0.25">
      <c r="A54" s="59" t="s">
        <v>25</v>
      </c>
      <c r="B54" s="520">
        <v>200000</v>
      </c>
      <c r="C54" s="60">
        <f t="shared" ref="C54:D60" si="18">+B54</f>
        <v>200000</v>
      </c>
      <c r="D54" s="60">
        <f t="shared" si="18"/>
        <v>200000</v>
      </c>
      <c r="E54" s="60">
        <v>400000</v>
      </c>
      <c r="F54" s="60">
        <f>+E54</f>
        <v>400000</v>
      </c>
      <c r="G54" s="60">
        <f t="shared" ref="G54:G60" si="19">+F54</f>
        <v>400000</v>
      </c>
      <c r="H54" s="60">
        <f t="shared" ref="H54:I59" si="20">+G54</f>
        <v>400000</v>
      </c>
      <c r="I54" s="60">
        <f t="shared" si="20"/>
        <v>400000</v>
      </c>
      <c r="J54" s="60">
        <v>450000</v>
      </c>
      <c r="K54" s="60">
        <f t="shared" ref="K54:M59" si="21">+J54</f>
        <v>450000</v>
      </c>
      <c r="L54" s="60">
        <f t="shared" si="21"/>
        <v>450000</v>
      </c>
      <c r="M54" s="60">
        <f t="shared" si="21"/>
        <v>450000</v>
      </c>
      <c r="N54" s="518">
        <f t="shared" si="14"/>
        <v>4400000</v>
      </c>
    </row>
    <row r="55" spans="1:15" ht="17.25" customHeight="1" x14ac:dyDescent="0.25">
      <c r="A55" s="59" t="s">
        <v>26</v>
      </c>
      <c r="B55" s="520">
        <v>10000</v>
      </c>
      <c r="C55" s="60">
        <f t="shared" si="18"/>
        <v>10000</v>
      </c>
      <c r="D55" s="60">
        <f t="shared" si="18"/>
        <v>10000</v>
      </c>
      <c r="E55" s="60">
        <f>+D55</f>
        <v>10000</v>
      </c>
      <c r="F55" s="60">
        <v>20000</v>
      </c>
      <c r="G55" s="60">
        <f t="shared" si="19"/>
        <v>20000</v>
      </c>
      <c r="H55" s="60">
        <f t="shared" si="20"/>
        <v>20000</v>
      </c>
      <c r="I55" s="60">
        <f t="shared" si="20"/>
        <v>20000</v>
      </c>
      <c r="J55" s="60">
        <f>+I55</f>
        <v>20000</v>
      </c>
      <c r="K55" s="60">
        <f t="shared" si="21"/>
        <v>20000</v>
      </c>
      <c r="L55" s="60">
        <f t="shared" si="21"/>
        <v>20000</v>
      </c>
      <c r="M55" s="60">
        <f t="shared" si="21"/>
        <v>20000</v>
      </c>
      <c r="N55" s="518">
        <f t="shared" si="14"/>
        <v>200000</v>
      </c>
    </row>
    <row r="56" spans="1:15" ht="17.25" customHeight="1" x14ac:dyDescent="0.25">
      <c r="A56" s="59" t="s">
        <v>27</v>
      </c>
      <c r="B56" s="520">
        <f>2000000/12</f>
        <v>166666.66666666666</v>
      </c>
      <c r="C56" s="60">
        <f t="shared" si="18"/>
        <v>166666.66666666666</v>
      </c>
      <c r="D56" s="60">
        <f t="shared" si="18"/>
        <v>166666.66666666666</v>
      </c>
      <c r="E56" s="60">
        <v>300000</v>
      </c>
      <c r="F56" s="60">
        <f>+E56</f>
        <v>300000</v>
      </c>
      <c r="G56" s="60">
        <f t="shared" si="19"/>
        <v>300000</v>
      </c>
      <c r="H56" s="60">
        <f t="shared" si="20"/>
        <v>300000</v>
      </c>
      <c r="I56" s="60">
        <f t="shared" si="20"/>
        <v>300000</v>
      </c>
      <c r="J56" s="60">
        <f>+I56</f>
        <v>300000</v>
      </c>
      <c r="K56" s="60">
        <f t="shared" si="21"/>
        <v>300000</v>
      </c>
      <c r="L56" s="60">
        <f t="shared" si="21"/>
        <v>300000</v>
      </c>
      <c r="M56" s="60">
        <f t="shared" si="21"/>
        <v>300000</v>
      </c>
      <c r="N56" s="518">
        <f t="shared" si="14"/>
        <v>3200000</v>
      </c>
    </row>
    <row r="57" spans="1:15" ht="17.25" customHeight="1" x14ac:dyDescent="0.25">
      <c r="A57" s="59" t="s">
        <v>28</v>
      </c>
      <c r="B57" s="520">
        <v>100000</v>
      </c>
      <c r="C57" s="60">
        <f t="shared" si="18"/>
        <v>100000</v>
      </c>
      <c r="D57" s="60">
        <f t="shared" si="18"/>
        <v>100000</v>
      </c>
      <c r="E57" s="60">
        <v>150000</v>
      </c>
      <c r="F57" s="60">
        <v>175000</v>
      </c>
      <c r="G57" s="60">
        <f t="shared" si="19"/>
        <v>175000</v>
      </c>
      <c r="H57" s="60">
        <f t="shared" si="20"/>
        <v>175000</v>
      </c>
      <c r="I57" s="60">
        <f t="shared" si="20"/>
        <v>175000</v>
      </c>
      <c r="J57" s="60">
        <f>+I57</f>
        <v>175000</v>
      </c>
      <c r="K57" s="60">
        <f t="shared" si="21"/>
        <v>175000</v>
      </c>
      <c r="L57" s="60">
        <f t="shared" si="21"/>
        <v>175000</v>
      </c>
      <c r="M57" s="60">
        <f t="shared" si="21"/>
        <v>175000</v>
      </c>
      <c r="N57" s="518">
        <f t="shared" si="14"/>
        <v>1850000</v>
      </c>
    </row>
    <row r="58" spans="1:15" ht="17.25" customHeight="1" x14ac:dyDescent="0.25">
      <c r="A58" s="59" t="s">
        <v>29</v>
      </c>
      <c r="B58" s="520">
        <v>250000</v>
      </c>
      <c r="C58" s="60">
        <f t="shared" si="18"/>
        <v>250000</v>
      </c>
      <c r="D58" s="60">
        <f t="shared" si="18"/>
        <v>250000</v>
      </c>
      <c r="E58" s="60">
        <v>400000</v>
      </c>
      <c r="F58" s="60">
        <f>+E58</f>
        <v>400000</v>
      </c>
      <c r="G58" s="60">
        <f t="shared" si="19"/>
        <v>400000</v>
      </c>
      <c r="H58" s="60">
        <f t="shared" si="20"/>
        <v>400000</v>
      </c>
      <c r="I58" s="60">
        <f t="shared" si="20"/>
        <v>400000</v>
      </c>
      <c r="J58" s="60">
        <f>+I58</f>
        <v>400000</v>
      </c>
      <c r="K58" s="60">
        <f t="shared" si="21"/>
        <v>400000</v>
      </c>
      <c r="L58" s="60">
        <f t="shared" si="21"/>
        <v>400000</v>
      </c>
      <c r="M58" s="60">
        <f t="shared" si="21"/>
        <v>400000</v>
      </c>
      <c r="N58" s="518">
        <f t="shared" si="14"/>
        <v>4350000</v>
      </c>
    </row>
    <row r="59" spans="1:15" ht="17.25" customHeight="1" x14ac:dyDescent="0.25">
      <c r="A59" s="536" t="s">
        <v>285</v>
      </c>
      <c r="B59" s="520">
        <v>10000</v>
      </c>
      <c r="C59" s="60">
        <f t="shared" si="18"/>
        <v>10000</v>
      </c>
      <c r="D59" s="60">
        <f t="shared" si="18"/>
        <v>10000</v>
      </c>
      <c r="E59" s="60">
        <v>20000</v>
      </c>
      <c r="F59" s="60">
        <v>50000</v>
      </c>
      <c r="G59" s="60">
        <f t="shared" si="19"/>
        <v>50000</v>
      </c>
      <c r="H59" s="60">
        <f t="shared" si="20"/>
        <v>50000</v>
      </c>
      <c r="I59" s="60">
        <f t="shared" si="20"/>
        <v>50000</v>
      </c>
      <c r="J59" s="60">
        <f>+I59</f>
        <v>50000</v>
      </c>
      <c r="K59" s="60">
        <f t="shared" si="21"/>
        <v>50000</v>
      </c>
      <c r="L59" s="60">
        <f t="shared" si="21"/>
        <v>50000</v>
      </c>
      <c r="M59" s="60">
        <f t="shared" si="21"/>
        <v>50000</v>
      </c>
      <c r="N59" s="518">
        <f t="shared" si="14"/>
        <v>450000</v>
      </c>
    </row>
    <row r="60" spans="1:15" ht="17.25" customHeight="1" x14ac:dyDescent="0.25">
      <c r="A60" s="59" t="s">
        <v>100</v>
      </c>
      <c r="B60" s="520">
        <v>50000</v>
      </c>
      <c r="C60" s="60">
        <f t="shared" si="18"/>
        <v>50000</v>
      </c>
      <c r="D60" s="60">
        <f t="shared" si="18"/>
        <v>50000</v>
      </c>
      <c r="E60" s="60">
        <v>750000</v>
      </c>
      <c r="F60" s="60">
        <v>1000000</v>
      </c>
      <c r="G60" s="60">
        <f t="shared" si="19"/>
        <v>1000000</v>
      </c>
      <c r="H60" s="60">
        <f t="shared" ref="H60:M60" si="22">0.9*G60</f>
        <v>900000</v>
      </c>
      <c r="I60" s="60">
        <f t="shared" si="22"/>
        <v>810000</v>
      </c>
      <c r="J60" s="60">
        <f t="shared" si="22"/>
        <v>729000</v>
      </c>
      <c r="K60" s="60">
        <f t="shared" si="22"/>
        <v>656100</v>
      </c>
      <c r="L60" s="60">
        <f t="shared" si="22"/>
        <v>590490</v>
      </c>
      <c r="M60" s="60">
        <f t="shared" si="22"/>
        <v>531441</v>
      </c>
      <c r="N60" s="518">
        <f t="shared" si="14"/>
        <v>7117031</v>
      </c>
    </row>
    <row r="61" spans="1:15" x14ac:dyDescent="0.25">
      <c r="A61" s="81" t="s">
        <v>31</v>
      </c>
      <c r="B61" s="537">
        <f t="shared" ref="B61:N61" si="23">SUM(B33:B60)</f>
        <v>8022333.333333333</v>
      </c>
      <c r="C61" s="64">
        <f t="shared" si="23"/>
        <v>8646333.3333333321</v>
      </c>
      <c r="D61" s="64">
        <f t="shared" si="23"/>
        <v>8646333.3333333321</v>
      </c>
      <c r="E61" s="64">
        <f t="shared" si="23"/>
        <v>10328833.333333332</v>
      </c>
      <c r="F61" s="64">
        <f t="shared" si="23"/>
        <v>14595833.333333334</v>
      </c>
      <c r="G61" s="64">
        <f t="shared" si="23"/>
        <v>14875833.333333334</v>
      </c>
      <c r="H61" s="64">
        <f t="shared" si="23"/>
        <v>16190833.333333332</v>
      </c>
      <c r="I61" s="64">
        <f t="shared" si="23"/>
        <v>16100833.333333332</v>
      </c>
      <c r="J61" s="64">
        <f t="shared" si="23"/>
        <v>16069833.333333332</v>
      </c>
      <c r="K61" s="64">
        <f t="shared" si="23"/>
        <v>15996933.333333332</v>
      </c>
      <c r="L61" s="64">
        <f t="shared" si="23"/>
        <v>15931323.333333332</v>
      </c>
      <c r="M61" s="64">
        <f t="shared" si="23"/>
        <v>15872274.333333332</v>
      </c>
      <c r="N61" s="527">
        <f t="shared" si="23"/>
        <v>161277531</v>
      </c>
    </row>
    <row r="62" spans="1:15" s="531" customFormat="1" ht="17.25" customHeight="1" x14ac:dyDescent="0.35">
      <c r="A62" s="532" t="s">
        <v>110</v>
      </c>
      <c r="B62" s="533">
        <f t="shared" ref="B62:N62" si="24">B61/B30</f>
        <v>1.5371367628347774</v>
      </c>
      <c r="C62" s="534">
        <f t="shared" si="24"/>
        <v>1.1267649754909279</v>
      </c>
      <c r="D62" s="534">
        <f t="shared" si="24"/>
        <v>0.87538609898812292</v>
      </c>
      <c r="E62" s="534">
        <f t="shared" si="24"/>
        <v>1.2727277349385295</v>
      </c>
      <c r="F62" s="534">
        <f t="shared" si="24"/>
        <v>0.97991228276746933</v>
      </c>
      <c r="G62" s="534">
        <f t="shared" si="24"/>
        <v>0.76316166378737404</v>
      </c>
      <c r="H62" s="534">
        <f t="shared" si="24"/>
        <v>0.8169791194877426</v>
      </c>
      <c r="I62" s="534">
        <f t="shared" si="24"/>
        <v>0.7008391342896797</v>
      </c>
      <c r="J62" s="534">
        <f t="shared" si="24"/>
        <v>0.67217272266977668</v>
      </c>
      <c r="K62" s="534">
        <f t="shared" si="24"/>
        <v>0.75694987796276092</v>
      </c>
      <c r="L62" s="534">
        <f t="shared" si="24"/>
        <v>0.72557798129506246</v>
      </c>
      <c r="M62" s="534">
        <f t="shared" si="24"/>
        <v>0.65755597655749154</v>
      </c>
      <c r="N62" s="535">
        <f t="shared" si="24"/>
        <v>0.80962615820039385</v>
      </c>
    </row>
    <row r="63" spans="1:15" x14ac:dyDescent="0.25">
      <c r="A63" s="59"/>
      <c r="B63" s="520"/>
      <c r="C63" s="60"/>
      <c r="D63" s="60"/>
      <c r="E63" s="60"/>
      <c r="F63" s="60"/>
      <c r="G63" s="60"/>
      <c r="H63" s="60"/>
      <c r="I63" s="60"/>
      <c r="J63" s="60"/>
      <c r="K63" s="60"/>
      <c r="L63" s="60"/>
      <c r="M63" s="60"/>
      <c r="N63" s="518"/>
    </row>
    <row r="64" spans="1:15" x14ac:dyDescent="0.25">
      <c r="A64" s="54" t="s">
        <v>45</v>
      </c>
      <c r="B64" s="538">
        <f t="shared" ref="B64:M64" si="25">+B30-B61</f>
        <v>-2803322.5547877736</v>
      </c>
      <c r="C64" s="82">
        <f t="shared" si="25"/>
        <v>-972742.5478492938</v>
      </c>
      <c r="D64" s="82">
        <f t="shared" si="25"/>
        <v>1230832.1178062391</v>
      </c>
      <c r="E64" s="82">
        <f t="shared" si="25"/>
        <v>-2213324.3758482523</v>
      </c>
      <c r="F64" s="82">
        <f t="shared" si="25"/>
        <v>299207.36572981626</v>
      </c>
      <c r="G64" s="82">
        <f t="shared" si="25"/>
        <v>4616541.662953062</v>
      </c>
      <c r="H64" s="82">
        <f t="shared" si="25"/>
        <v>3627094.6248318814</v>
      </c>
      <c r="I64" s="82">
        <f t="shared" si="25"/>
        <v>6872817.174428314</v>
      </c>
      <c r="J64" s="82">
        <f t="shared" si="25"/>
        <v>7837464.287293382</v>
      </c>
      <c r="K64" s="82">
        <f t="shared" si="25"/>
        <v>5136478.2690136358</v>
      </c>
      <c r="L64" s="82">
        <f t="shared" si="25"/>
        <v>6025411.4960477762</v>
      </c>
      <c r="M64" s="82">
        <f t="shared" si="25"/>
        <v>8266011.8342254907</v>
      </c>
      <c r="N64" s="539">
        <f>SUM(B64:M64)</f>
        <v>37922469.353844278</v>
      </c>
    </row>
    <row r="65" spans="1:14" x14ac:dyDescent="0.25">
      <c r="A65" s="59" t="s">
        <v>46</v>
      </c>
      <c r="B65" s="517">
        <f t="shared" ref="B65:M65" si="26">0.3*B64</f>
        <v>-840996.76643633202</v>
      </c>
      <c r="C65" s="55">
        <f t="shared" si="26"/>
        <v>-291822.76435478812</v>
      </c>
      <c r="D65" s="55">
        <f t="shared" si="26"/>
        <v>369249.6353418717</v>
      </c>
      <c r="E65" s="55">
        <f t="shared" si="26"/>
        <v>-663997.31275447563</v>
      </c>
      <c r="F65" s="55">
        <f t="shared" si="26"/>
        <v>89762.209718944869</v>
      </c>
      <c r="G65" s="55">
        <f t="shared" si="26"/>
        <v>1384962.4988859186</v>
      </c>
      <c r="H65" s="55">
        <f t="shared" si="26"/>
        <v>1088128.3874495644</v>
      </c>
      <c r="I65" s="55">
        <f t="shared" si="26"/>
        <v>2061845.152328494</v>
      </c>
      <c r="J65" s="55">
        <f t="shared" si="26"/>
        <v>2351239.2861880143</v>
      </c>
      <c r="K65" s="55">
        <f t="shared" si="26"/>
        <v>1540943.4807040908</v>
      </c>
      <c r="L65" s="55">
        <f t="shared" si="26"/>
        <v>1807623.4488143327</v>
      </c>
      <c r="M65" s="55">
        <f t="shared" si="26"/>
        <v>2479803.550267647</v>
      </c>
      <c r="N65" s="540">
        <f>SUM(B65:M65)</f>
        <v>11376740.806153283</v>
      </c>
    </row>
    <row r="66" spans="1:14" x14ac:dyDescent="0.25">
      <c r="A66" s="54" t="s">
        <v>47</v>
      </c>
      <c r="B66" s="541">
        <f t="shared" ref="B66:M66" si="27">B64-B65</f>
        <v>-1962325.7883514417</v>
      </c>
      <c r="C66" s="85">
        <f t="shared" si="27"/>
        <v>-680919.78349450568</v>
      </c>
      <c r="D66" s="85">
        <f t="shared" si="27"/>
        <v>861582.48246436729</v>
      </c>
      <c r="E66" s="85">
        <f t="shared" si="27"/>
        <v>-1549327.0630937768</v>
      </c>
      <c r="F66" s="85">
        <f t="shared" si="27"/>
        <v>209445.1560108714</v>
      </c>
      <c r="G66" s="85">
        <f t="shared" si="27"/>
        <v>3231579.1640671436</v>
      </c>
      <c r="H66" s="85">
        <f t="shared" si="27"/>
        <v>2538966.237382317</v>
      </c>
      <c r="I66" s="85">
        <f t="shared" si="27"/>
        <v>4810972.02209982</v>
      </c>
      <c r="J66" s="85">
        <f t="shared" si="27"/>
        <v>5486225.0011053681</v>
      </c>
      <c r="K66" s="85">
        <f t="shared" si="27"/>
        <v>3595534.7883095453</v>
      </c>
      <c r="L66" s="85">
        <f t="shared" si="27"/>
        <v>4217788.0472334437</v>
      </c>
      <c r="M66" s="85">
        <f t="shared" si="27"/>
        <v>5786208.2839578437</v>
      </c>
      <c r="N66" s="539">
        <f>SUM(B66:M66)</f>
        <v>26545728.547690995</v>
      </c>
    </row>
    <row r="67" spans="1:14" s="531" customFormat="1" ht="17.25" customHeight="1" x14ac:dyDescent="0.35">
      <c r="A67" s="532" t="s">
        <v>109</v>
      </c>
      <c r="B67" s="542">
        <f t="shared" ref="B67:N67" si="28">B66/B30</f>
        <v>-0.37599573398434427</v>
      </c>
      <c r="C67" s="543">
        <f t="shared" si="28"/>
        <v>-8.8735482843649488E-2</v>
      </c>
      <c r="D67" s="543">
        <f t="shared" si="28"/>
        <v>8.7229730708313968E-2</v>
      </c>
      <c r="E67" s="543">
        <f t="shared" si="28"/>
        <v>-0.19090941445697063</v>
      </c>
      <c r="F67" s="543">
        <f t="shared" si="28"/>
        <v>1.4061402062771459E-2</v>
      </c>
      <c r="G67" s="543">
        <f t="shared" si="28"/>
        <v>0.1657868353488382</v>
      </c>
      <c r="H67" s="543">
        <f t="shared" si="28"/>
        <v>0.12811461635858021</v>
      </c>
      <c r="I67" s="543">
        <f t="shared" si="28"/>
        <v>0.20941260599722422</v>
      </c>
      <c r="J67" s="543">
        <f t="shared" si="28"/>
        <v>0.22947909413115636</v>
      </c>
      <c r="K67" s="543">
        <f t="shared" si="28"/>
        <v>0.1701350854260674</v>
      </c>
      <c r="L67" s="543">
        <f t="shared" si="28"/>
        <v>0.19209541309345629</v>
      </c>
      <c r="M67" s="543">
        <f t="shared" si="28"/>
        <v>0.23971081640975592</v>
      </c>
      <c r="N67" s="544">
        <f t="shared" si="28"/>
        <v>0.13326168925972448</v>
      </c>
    </row>
    <row r="68" spans="1:14" s="91" customFormat="1" x14ac:dyDescent="0.35">
      <c r="A68" s="89"/>
      <c r="B68" s="90"/>
      <c r="C68" s="90"/>
      <c r="D68" s="90"/>
      <c r="E68" s="90"/>
      <c r="F68" s="90"/>
      <c r="G68" s="90"/>
      <c r="H68" s="90"/>
      <c r="I68" s="90"/>
      <c r="J68" s="90"/>
      <c r="K68" s="90"/>
      <c r="L68" s="90"/>
      <c r="M68" s="90"/>
      <c r="N68" s="92"/>
    </row>
    <row r="69" spans="1:14" s="97" customFormat="1" ht="15" x14ac:dyDescent="0.3">
      <c r="A69" s="545" t="s">
        <v>91</v>
      </c>
    </row>
    <row r="70" spans="1:14" s="98" customFormat="1" ht="48" customHeight="1" x14ac:dyDescent="0.3">
      <c r="A70" s="546">
        <v>1</v>
      </c>
      <c r="B70" s="614" t="s">
        <v>331</v>
      </c>
      <c r="C70" s="614"/>
      <c r="D70" s="614"/>
      <c r="E70" s="614"/>
      <c r="F70" s="614"/>
      <c r="G70" s="614"/>
      <c r="H70" s="614"/>
      <c r="I70" s="614"/>
      <c r="J70" s="614"/>
      <c r="K70" s="614"/>
      <c r="L70" s="614"/>
      <c r="M70" s="614"/>
      <c r="N70" s="614"/>
    </row>
    <row r="71" spans="1:14" s="98" customFormat="1" ht="21" customHeight="1" x14ac:dyDescent="0.3">
      <c r="A71" s="547">
        <v>2</v>
      </c>
      <c r="B71" s="98" t="s">
        <v>330</v>
      </c>
    </row>
    <row r="72" spans="1:14" s="101" customFormat="1" ht="21" customHeight="1" x14ac:dyDescent="0.3">
      <c r="A72" s="547">
        <v>3</v>
      </c>
      <c r="B72" s="98" t="s">
        <v>329</v>
      </c>
    </row>
    <row r="73" spans="1:14" ht="21" customHeight="1" x14ac:dyDescent="0.3">
      <c r="A73" s="547"/>
      <c r="B73" s="98"/>
    </row>
    <row r="74" spans="1:14" ht="14" x14ac:dyDescent="0.3">
      <c r="A74" s="547"/>
    </row>
  </sheetData>
  <mergeCells count="2">
    <mergeCell ref="B1:N1"/>
    <mergeCell ref="B70:N70"/>
  </mergeCells>
  <printOptions horizontalCentered="1"/>
  <pageMargins left="0.15748031496062992" right="0.59" top="0.53" bottom="0.28000000000000003" header="0.23622047244094491" footer="0.15748031496062992"/>
  <pageSetup paperSize="9" scale="43" orientation="landscape"/>
  <headerFooter>
    <oddHeader>&amp;C&amp;"Arial,Bold"&amp;12 Media Edge Interactive Limited
&amp;8 Profit &amp;&amp; Loss&amp;14 &amp;8Budget Overview
 January through Decembe&amp;10r 2012</oddHeader>
    <oddFooter>&amp;R&amp;"Arial,Bold"&amp;8&amp;D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57"/>
  <sheetViews>
    <sheetView showGridLines="0" workbookViewId="0">
      <pane xSplit="1" ySplit="3" topLeftCell="B16" activePane="bottomRight" state="frozen"/>
      <selection pane="topRight"/>
      <selection pane="bottomLeft"/>
      <selection pane="bottomRight" activeCell="G5" sqref="G5"/>
    </sheetView>
  </sheetViews>
  <sheetFormatPr defaultColWidth="9.1796875" defaultRowHeight="12.5" x14ac:dyDescent="0.25"/>
  <cols>
    <col min="1" max="1" width="35.453125" style="100" customWidth="1"/>
    <col min="2" max="13" width="11.54296875" style="100" customWidth="1"/>
    <col min="14" max="14" width="15.26953125" style="96" customWidth="1"/>
    <col min="15" max="16384" width="9.1796875" style="100"/>
  </cols>
  <sheetData>
    <row r="1" spans="1:14" s="101" customFormat="1" ht="24.75" customHeight="1" x14ac:dyDescent="0.3">
      <c r="A1" s="588" t="s">
        <v>32</v>
      </c>
      <c r="B1" s="588"/>
      <c r="C1" s="588"/>
      <c r="D1" s="588"/>
      <c r="E1" s="588"/>
      <c r="F1" s="588"/>
      <c r="G1" s="588"/>
      <c r="H1" s="588"/>
      <c r="I1" s="588"/>
      <c r="J1" s="588"/>
      <c r="K1" s="588"/>
      <c r="L1" s="588"/>
      <c r="M1" s="588"/>
      <c r="N1" s="588"/>
    </row>
    <row r="2" spans="1:14" s="101" customFormat="1" ht="24.75" customHeight="1" x14ac:dyDescent="0.3">
      <c r="A2" s="115" t="s">
        <v>111</v>
      </c>
      <c r="B2" s="116"/>
      <c r="C2" s="116"/>
      <c r="D2" s="116"/>
      <c r="E2" s="116"/>
      <c r="F2" s="116"/>
      <c r="G2" s="116"/>
      <c r="H2" s="116"/>
      <c r="I2" s="116"/>
      <c r="J2" s="116"/>
      <c r="K2" s="116"/>
      <c r="L2" s="116"/>
      <c r="M2" s="116"/>
      <c r="N2" s="117"/>
    </row>
    <row r="3" spans="1:14" s="99" customFormat="1" ht="15" customHeight="1" x14ac:dyDescent="0.25">
      <c r="B3" s="173">
        <v>40544</v>
      </c>
      <c r="C3" s="173">
        <v>40575</v>
      </c>
      <c r="D3" s="173">
        <v>40603</v>
      </c>
      <c r="E3" s="173">
        <v>40634</v>
      </c>
      <c r="F3" s="173">
        <v>40664</v>
      </c>
      <c r="G3" s="173">
        <v>40695</v>
      </c>
      <c r="H3" s="173">
        <v>40725</v>
      </c>
      <c r="I3" s="173">
        <v>40756</v>
      </c>
      <c r="J3" s="173">
        <v>40787</v>
      </c>
      <c r="K3" s="173">
        <v>40817</v>
      </c>
      <c r="L3" s="173">
        <v>40848</v>
      </c>
      <c r="M3" s="173">
        <v>40878</v>
      </c>
      <c r="N3" s="149" t="s">
        <v>0</v>
      </c>
    </row>
    <row r="4" spans="1:14" ht="15" customHeight="1" x14ac:dyDescent="0.25">
      <c r="A4" s="120" t="s">
        <v>101</v>
      </c>
      <c r="B4" s="152"/>
      <c r="C4" s="152"/>
      <c r="D4" s="152"/>
      <c r="E4" s="152"/>
      <c r="F4" s="152"/>
      <c r="G4" s="152"/>
      <c r="H4" s="152"/>
      <c r="I4" s="152"/>
      <c r="J4" s="152"/>
      <c r="K4" s="152"/>
      <c r="L4" s="152"/>
      <c r="M4" s="152"/>
      <c r="N4" s="155"/>
    </row>
    <row r="5" spans="1:14" s="48" customFormat="1" ht="15.75" customHeight="1" x14ac:dyDescent="0.25">
      <c r="A5" s="122" t="s">
        <v>33</v>
      </c>
      <c r="B5" s="55">
        <v>1461187</v>
      </c>
      <c r="C5" s="55">
        <v>1461187</v>
      </c>
      <c r="D5" s="55">
        <v>1461187</v>
      </c>
      <c r="E5" s="55">
        <v>1826484</v>
      </c>
      <c r="F5" s="55">
        <v>1826484</v>
      </c>
      <c r="G5" s="55">
        <v>1826484</v>
      </c>
      <c r="H5" s="55">
        <v>2191781</v>
      </c>
      <c r="I5" s="55">
        <v>2191781</v>
      </c>
      <c r="J5" s="55">
        <v>2191781</v>
      </c>
      <c r="K5" s="55">
        <v>2520548</v>
      </c>
      <c r="L5" s="55">
        <v>2520548</v>
      </c>
      <c r="M5" s="55">
        <v>2520548</v>
      </c>
      <c r="N5" s="70">
        <f>SUM(B5:M5)</f>
        <v>24000000</v>
      </c>
    </row>
    <row r="6" spans="1:14" s="48" customFormat="1" ht="15.75" customHeight="1" x14ac:dyDescent="0.25">
      <c r="A6" s="122" t="s">
        <v>3</v>
      </c>
      <c r="B6" s="55">
        <v>188302</v>
      </c>
      <c r="C6" s="55">
        <v>188302</v>
      </c>
      <c r="D6" s="55">
        <v>188302</v>
      </c>
      <c r="E6" s="55">
        <v>199172</v>
      </c>
      <c r="F6" s="55">
        <v>199172</v>
      </c>
      <c r="G6" s="55">
        <v>199172</v>
      </c>
      <c r="H6" s="55">
        <v>318751</v>
      </c>
      <c r="I6" s="55">
        <v>318751</v>
      </c>
      <c r="J6" s="55">
        <v>318751</v>
      </c>
      <c r="K6" s="55">
        <v>353775</v>
      </c>
      <c r="L6" s="55">
        <v>353775</v>
      </c>
      <c r="M6" s="55">
        <v>353775</v>
      </c>
      <c r="N6" s="70">
        <f>SUM(B6:M6)</f>
        <v>3180000</v>
      </c>
    </row>
    <row r="7" spans="1:14" s="48" customFormat="1" ht="30.75" customHeight="1" x14ac:dyDescent="0.25">
      <c r="A7" s="122" t="s">
        <v>34</v>
      </c>
      <c r="B7" s="55">
        <v>125000</v>
      </c>
      <c r="C7" s="55">
        <v>125000</v>
      </c>
      <c r="D7" s="55">
        <v>125000</v>
      </c>
      <c r="E7" s="55">
        <v>125000</v>
      </c>
      <c r="F7" s="55">
        <v>125000</v>
      </c>
      <c r="G7" s="55">
        <v>125000</v>
      </c>
      <c r="H7" s="55">
        <v>125000</v>
      </c>
      <c r="I7" s="55">
        <v>125000</v>
      </c>
      <c r="J7" s="55">
        <v>125000</v>
      </c>
      <c r="K7" s="55">
        <v>125000</v>
      </c>
      <c r="L7" s="55">
        <v>125000</v>
      </c>
      <c r="M7" s="55">
        <v>125000</v>
      </c>
      <c r="N7" s="70">
        <f>SUM(B7:M7)</f>
        <v>1500000</v>
      </c>
    </row>
    <row r="8" spans="1:14" s="96" customFormat="1" ht="15.75" customHeight="1" x14ac:dyDescent="0.25">
      <c r="A8" s="120" t="s">
        <v>102</v>
      </c>
      <c r="B8" s="175">
        <f t="shared" ref="B8:M8" si="0">SUM(B5:B7)</f>
        <v>1774489</v>
      </c>
      <c r="C8" s="175">
        <f t="shared" si="0"/>
        <v>1774489</v>
      </c>
      <c r="D8" s="175">
        <f t="shared" si="0"/>
        <v>1774489</v>
      </c>
      <c r="E8" s="175">
        <f t="shared" si="0"/>
        <v>2150656</v>
      </c>
      <c r="F8" s="175">
        <f t="shared" si="0"/>
        <v>2150656</v>
      </c>
      <c r="G8" s="175">
        <f t="shared" si="0"/>
        <v>2150656</v>
      </c>
      <c r="H8" s="175">
        <f t="shared" si="0"/>
        <v>2635532</v>
      </c>
      <c r="I8" s="175">
        <f t="shared" si="0"/>
        <v>2635532</v>
      </c>
      <c r="J8" s="175">
        <f t="shared" si="0"/>
        <v>2635532</v>
      </c>
      <c r="K8" s="175">
        <f t="shared" si="0"/>
        <v>2999323</v>
      </c>
      <c r="L8" s="175">
        <f t="shared" si="0"/>
        <v>2999323</v>
      </c>
      <c r="M8" s="175">
        <f t="shared" si="0"/>
        <v>2999323</v>
      </c>
      <c r="N8" s="64">
        <f>SUM(B8:M8)</f>
        <v>28680000</v>
      </c>
    </row>
    <row r="9" spans="1:14" ht="15" customHeight="1" x14ac:dyDescent="0.25">
      <c r="B9" s="152"/>
      <c r="C9" s="152"/>
      <c r="D9" s="152"/>
      <c r="E9" s="152"/>
      <c r="F9" s="152"/>
      <c r="G9" s="152"/>
      <c r="H9" s="152"/>
      <c r="I9" s="152"/>
      <c r="J9" s="152"/>
      <c r="K9" s="152"/>
      <c r="L9" s="152"/>
      <c r="M9" s="152"/>
      <c r="N9" s="176"/>
    </row>
    <row r="10" spans="1:14" ht="15" customHeight="1" x14ac:dyDescent="0.25">
      <c r="A10" s="96" t="s">
        <v>43</v>
      </c>
      <c r="B10" s="152"/>
      <c r="C10" s="161"/>
      <c r="D10" s="152"/>
      <c r="E10" s="152"/>
      <c r="F10" s="152"/>
      <c r="G10" s="152"/>
      <c r="H10" s="152"/>
      <c r="I10" s="152"/>
      <c r="J10" s="152"/>
      <c r="K10" s="152"/>
      <c r="L10" s="152"/>
      <c r="M10" s="152"/>
      <c r="N10" s="155"/>
    </row>
    <row r="11" spans="1:14" s="48" customFormat="1" ht="15.75" customHeight="1" x14ac:dyDescent="0.25">
      <c r="A11" s="122" t="s">
        <v>54</v>
      </c>
      <c r="B11" s="55">
        <f>B5*20%</f>
        <v>292237.40000000002</v>
      </c>
      <c r="C11" s="55">
        <f t="shared" ref="C11:M11" si="1">C5*20%</f>
        <v>292237.40000000002</v>
      </c>
      <c r="D11" s="55">
        <f t="shared" si="1"/>
        <v>292237.40000000002</v>
      </c>
      <c r="E11" s="55">
        <f t="shared" si="1"/>
        <v>365296.80000000005</v>
      </c>
      <c r="F11" s="55">
        <f t="shared" si="1"/>
        <v>365296.80000000005</v>
      </c>
      <c r="G11" s="55">
        <f t="shared" si="1"/>
        <v>365296.80000000005</v>
      </c>
      <c r="H11" s="55">
        <f t="shared" si="1"/>
        <v>438356.2</v>
      </c>
      <c r="I11" s="55">
        <f t="shared" si="1"/>
        <v>438356.2</v>
      </c>
      <c r="J11" s="55">
        <f t="shared" si="1"/>
        <v>438356.2</v>
      </c>
      <c r="K11" s="55">
        <f t="shared" si="1"/>
        <v>504109.60000000003</v>
      </c>
      <c r="L11" s="55">
        <f t="shared" si="1"/>
        <v>504109.60000000003</v>
      </c>
      <c r="M11" s="55">
        <f t="shared" si="1"/>
        <v>504109.60000000003</v>
      </c>
      <c r="N11" s="70">
        <f>SUM(B11:M11)</f>
        <v>4800000</v>
      </c>
    </row>
    <row r="12" spans="1:14" s="48" customFormat="1" ht="15.75" customHeight="1" x14ac:dyDescent="0.25">
      <c r="A12" s="122" t="s">
        <v>55</v>
      </c>
      <c r="B12" s="55">
        <f>60%*B6</f>
        <v>112981.2</v>
      </c>
      <c r="C12" s="55">
        <f t="shared" ref="C12:M12" si="2">60%*C6</f>
        <v>112981.2</v>
      </c>
      <c r="D12" s="55">
        <f t="shared" si="2"/>
        <v>112981.2</v>
      </c>
      <c r="E12" s="55">
        <f t="shared" si="2"/>
        <v>119503.2</v>
      </c>
      <c r="F12" s="55">
        <f t="shared" si="2"/>
        <v>119503.2</v>
      </c>
      <c r="G12" s="55">
        <f t="shared" si="2"/>
        <v>119503.2</v>
      </c>
      <c r="H12" s="55">
        <f t="shared" si="2"/>
        <v>191250.6</v>
      </c>
      <c r="I12" s="55">
        <f t="shared" si="2"/>
        <v>191250.6</v>
      </c>
      <c r="J12" s="55">
        <f t="shared" si="2"/>
        <v>191250.6</v>
      </c>
      <c r="K12" s="55">
        <f t="shared" si="2"/>
        <v>212265</v>
      </c>
      <c r="L12" s="55">
        <f t="shared" si="2"/>
        <v>212265</v>
      </c>
      <c r="M12" s="55">
        <f t="shared" si="2"/>
        <v>212265</v>
      </c>
      <c r="N12" s="70">
        <f>SUM(B12:M12)</f>
        <v>1908000</v>
      </c>
    </row>
    <row r="13" spans="1:14" s="48" customFormat="1" ht="26.25" customHeight="1" x14ac:dyDescent="0.25">
      <c r="A13" s="122" t="s">
        <v>116</v>
      </c>
      <c r="B13" s="55">
        <f>B7*50%</f>
        <v>62500</v>
      </c>
      <c r="C13" s="55">
        <f t="shared" ref="C13:M13" si="3">C7*50%</f>
        <v>62500</v>
      </c>
      <c r="D13" s="55">
        <f t="shared" si="3"/>
        <v>62500</v>
      </c>
      <c r="E13" s="55">
        <f t="shared" si="3"/>
        <v>62500</v>
      </c>
      <c r="F13" s="55">
        <f t="shared" si="3"/>
        <v>62500</v>
      </c>
      <c r="G13" s="55">
        <f t="shared" si="3"/>
        <v>62500</v>
      </c>
      <c r="H13" s="55">
        <f t="shared" si="3"/>
        <v>62500</v>
      </c>
      <c r="I13" s="55">
        <f t="shared" si="3"/>
        <v>62500</v>
      </c>
      <c r="J13" s="55">
        <f t="shared" si="3"/>
        <v>62500</v>
      </c>
      <c r="K13" s="55">
        <f t="shared" si="3"/>
        <v>62500</v>
      </c>
      <c r="L13" s="55">
        <f t="shared" si="3"/>
        <v>62500</v>
      </c>
      <c r="M13" s="55">
        <f t="shared" si="3"/>
        <v>62500</v>
      </c>
      <c r="N13" s="70">
        <f>SUM(B13:M13)</f>
        <v>750000</v>
      </c>
    </row>
    <row r="14" spans="1:14" s="48" customFormat="1" ht="15.75" customHeight="1" x14ac:dyDescent="0.25">
      <c r="A14" s="122" t="s">
        <v>35</v>
      </c>
      <c r="B14" s="55">
        <f>1500000/12</f>
        <v>125000</v>
      </c>
      <c r="C14" s="55">
        <f>+B14</f>
        <v>125000</v>
      </c>
      <c r="D14" s="55">
        <f t="shared" ref="D14:M14" si="4">+C14</f>
        <v>125000</v>
      </c>
      <c r="E14" s="55">
        <f t="shared" si="4"/>
        <v>125000</v>
      </c>
      <c r="F14" s="55">
        <f t="shared" si="4"/>
        <v>125000</v>
      </c>
      <c r="G14" s="55">
        <f t="shared" si="4"/>
        <v>125000</v>
      </c>
      <c r="H14" s="55">
        <f t="shared" si="4"/>
        <v>125000</v>
      </c>
      <c r="I14" s="55">
        <f t="shared" si="4"/>
        <v>125000</v>
      </c>
      <c r="J14" s="55">
        <f t="shared" si="4"/>
        <v>125000</v>
      </c>
      <c r="K14" s="55">
        <f t="shared" si="4"/>
        <v>125000</v>
      </c>
      <c r="L14" s="55">
        <f t="shared" si="4"/>
        <v>125000</v>
      </c>
      <c r="M14" s="55">
        <f t="shared" si="4"/>
        <v>125000</v>
      </c>
      <c r="N14" s="70">
        <f>SUM(B14:M14)</f>
        <v>1500000</v>
      </c>
    </row>
    <row r="15" spans="1:14" s="96" customFormat="1" ht="15.75" customHeight="1" x14ac:dyDescent="0.25">
      <c r="A15" s="120" t="s">
        <v>44</v>
      </c>
      <c r="B15" s="175">
        <f>SUM(B11:B14)</f>
        <v>592718.60000000009</v>
      </c>
      <c r="C15" s="175">
        <f t="shared" ref="C15:M15" si="5">SUM(C11:C14)</f>
        <v>592718.60000000009</v>
      </c>
      <c r="D15" s="175">
        <f t="shared" si="5"/>
        <v>592718.60000000009</v>
      </c>
      <c r="E15" s="175">
        <f t="shared" si="5"/>
        <v>672300</v>
      </c>
      <c r="F15" s="175">
        <f t="shared" si="5"/>
        <v>672300</v>
      </c>
      <c r="G15" s="175">
        <f t="shared" si="5"/>
        <v>672300</v>
      </c>
      <c r="H15" s="175">
        <f t="shared" si="5"/>
        <v>817106.8</v>
      </c>
      <c r="I15" s="175">
        <f t="shared" si="5"/>
        <v>817106.8</v>
      </c>
      <c r="J15" s="175">
        <f t="shared" si="5"/>
        <v>817106.8</v>
      </c>
      <c r="K15" s="175">
        <f t="shared" si="5"/>
        <v>903874.60000000009</v>
      </c>
      <c r="L15" s="175">
        <f t="shared" si="5"/>
        <v>903874.60000000009</v>
      </c>
      <c r="M15" s="175">
        <f t="shared" si="5"/>
        <v>903874.60000000009</v>
      </c>
      <c r="N15" s="64">
        <f>SUM(N11:N14)</f>
        <v>8958000</v>
      </c>
    </row>
    <row r="16" spans="1:14" s="128" customFormat="1" ht="15" customHeight="1" x14ac:dyDescent="0.25">
      <c r="A16" s="129"/>
      <c r="B16" s="177"/>
      <c r="C16" s="177"/>
      <c r="D16" s="177"/>
      <c r="E16" s="177"/>
      <c r="F16" s="177"/>
      <c r="G16" s="177"/>
      <c r="H16" s="177"/>
      <c r="I16" s="177"/>
      <c r="J16" s="177"/>
      <c r="K16" s="177"/>
      <c r="L16" s="177"/>
      <c r="M16" s="177"/>
      <c r="N16" s="178"/>
    </row>
    <row r="17" spans="1:14" s="132" customFormat="1" ht="15" customHeight="1" x14ac:dyDescent="0.25">
      <c r="A17" s="96" t="s">
        <v>41</v>
      </c>
      <c r="B17" s="179">
        <f>B8-B15</f>
        <v>1181770.3999999999</v>
      </c>
      <c r="C17" s="179">
        <f t="shared" ref="C17:N17" si="6">C8-C15</f>
        <v>1181770.3999999999</v>
      </c>
      <c r="D17" s="179">
        <f t="shared" si="6"/>
        <v>1181770.3999999999</v>
      </c>
      <c r="E17" s="179">
        <f t="shared" si="6"/>
        <v>1478356</v>
      </c>
      <c r="F17" s="179">
        <f t="shared" si="6"/>
        <v>1478356</v>
      </c>
      <c r="G17" s="179">
        <f t="shared" si="6"/>
        <v>1478356</v>
      </c>
      <c r="H17" s="179">
        <f t="shared" si="6"/>
        <v>1818425.2</v>
      </c>
      <c r="I17" s="179">
        <f t="shared" si="6"/>
        <v>1818425.2</v>
      </c>
      <c r="J17" s="179">
        <f t="shared" si="6"/>
        <v>1818425.2</v>
      </c>
      <c r="K17" s="179">
        <f t="shared" si="6"/>
        <v>2095448.4</v>
      </c>
      <c r="L17" s="179">
        <f t="shared" si="6"/>
        <v>2095448.4</v>
      </c>
      <c r="M17" s="179">
        <f t="shared" si="6"/>
        <v>2095448.4</v>
      </c>
      <c r="N17" s="179">
        <f t="shared" si="6"/>
        <v>19722000</v>
      </c>
    </row>
    <row r="18" spans="1:14" s="128" customFormat="1" ht="20.25" customHeight="1" x14ac:dyDescent="0.25">
      <c r="A18" s="129" t="s">
        <v>103</v>
      </c>
      <c r="B18" s="177">
        <f>B17/B8</f>
        <v>0.66597786743113085</v>
      </c>
      <c r="C18" s="177">
        <f t="shared" ref="C18:N18" si="7">C17/C8</f>
        <v>0.66597786743113085</v>
      </c>
      <c r="D18" s="177">
        <f t="shared" si="7"/>
        <v>0.66597786743113085</v>
      </c>
      <c r="E18" s="177">
        <f t="shared" si="7"/>
        <v>0.68739770563028213</v>
      </c>
      <c r="F18" s="177">
        <f t="shared" si="7"/>
        <v>0.68739770563028213</v>
      </c>
      <c r="G18" s="177">
        <f t="shared" si="7"/>
        <v>0.68739770563028213</v>
      </c>
      <c r="H18" s="177">
        <f t="shared" si="7"/>
        <v>0.68996513796834946</v>
      </c>
      <c r="I18" s="177">
        <f t="shared" si="7"/>
        <v>0.68996513796834946</v>
      </c>
      <c r="J18" s="177">
        <f t="shared" si="7"/>
        <v>0.68996513796834946</v>
      </c>
      <c r="K18" s="177">
        <f t="shared" si="7"/>
        <v>0.69864045986377588</v>
      </c>
      <c r="L18" s="177">
        <f t="shared" si="7"/>
        <v>0.69864045986377588</v>
      </c>
      <c r="M18" s="177">
        <f t="shared" si="7"/>
        <v>0.69864045986377588</v>
      </c>
      <c r="N18" s="177">
        <f t="shared" si="7"/>
        <v>0.68765690376569033</v>
      </c>
    </row>
    <row r="19" spans="1:14" ht="15" customHeight="1" x14ac:dyDescent="0.25">
      <c r="A19" s="96" t="s">
        <v>11</v>
      </c>
      <c r="B19" s="60"/>
      <c r="C19" s="60"/>
      <c r="D19" s="60"/>
      <c r="E19" s="60"/>
      <c r="F19" s="60"/>
      <c r="G19" s="60"/>
      <c r="H19" s="60"/>
      <c r="I19" s="60"/>
      <c r="J19" s="60"/>
      <c r="K19" s="60"/>
      <c r="L19" s="60"/>
      <c r="M19" s="60"/>
      <c r="N19" s="70"/>
    </row>
    <row r="20" spans="1:14" s="48" customFormat="1" ht="15.75" customHeight="1" x14ac:dyDescent="0.25">
      <c r="A20" s="122" t="s">
        <v>36</v>
      </c>
      <c r="B20" s="55">
        <v>5000</v>
      </c>
      <c r="C20" s="55">
        <f>B20</f>
        <v>5000</v>
      </c>
      <c r="D20" s="55">
        <f t="shared" ref="D20:M20" si="8">C20</f>
        <v>5000</v>
      </c>
      <c r="E20" s="55">
        <f t="shared" si="8"/>
        <v>5000</v>
      </c>
      <c r="F20" s="55">
        <f t="shared" si="8"/>
        <v>5000</v>
      </c>
      <c r="G20" s="55">
        <f t="shared" si="8"/>
        <v>5000</v>
      </c>
      <c r="H20" s="55">
        <f t="shared" si="8"/>
        <v>5000</v>
      </c>
      <c r="I20" s="55">
        <f t="shared" si="8"/>
        <v>5000</v>
      </c>
      <c r="J20" s="55">
        <f t="shared" si="8"/>
        <v>5000</v>
      </c>
      <c r="K20" s="55">
        <f t="shared" si="8"/>
        <v>5000</v>
      </c>
      <c r="L20" s="55">
        <f t="shared" si="8"/>
        <v>5000</v>
      </c>
      <c r="M20" s="55">
        <f t="shared" si="8"/>
        <v>5000</v>
      </c>
      <c r="N20" s="70">
        <f t="shared" ref="N20:N26" si="9">SUM(B20:M20)</f>
        <v>60000</v>
      </c>
    </row>
    <row r="21" spans="1:14" s="48" customFormat="1" ht="15.75" customHeight="1" x14ac:dyDescent="0.25">
      <c r="A21" s="122" t="s">
        <v>12</v>
      </c>
      <c r="B21" s="55">
        <v>5000</v>
      </c>
      <c r="C21" s="55">
        <f>+B21</f>
        <v>5000</v>
      </c>
      <c r="D21" s="55">
        <f t="shared" ref="D21:M21" si="10">+C21</f>
        <v>5000</v>
      </c>
      <c r="E21" s="55">
        <f t="shared" si="10"/>
        <v>5000</v>
      </c>
      <c r="F21" s="55">
        <f t="shared" si="10"/>
        <v>5000</v>
      </c>
      <c r="G21" s="55">
        <f t="shared" si="10"/>
        <v>5000</v>
      </c>
      <c r="H21" s="55">
        <f t="shared" si="10"/>
        <v>5000</v>
      </c>
      <c r="I21" s="55">
        <f t="shared" si="10"/>
        <v>5000</v>
      </c>
      <c r="J21" s="55">
        <f t="shared" si="10"/>
        <v>5000</v>
      </c>
      <c r="K21" s="55">
        <f t="shared" si="10"/>
        <v>5000</v>
      </c>
      <c r="L21" s="55">
        <f t="shared" si="10"/>
        <v>5000</v>
      </c>
      <c r="M21" s="55">
        <f t="shared" si="10"/>
        <v>5000</v>
      </c>
      <c r="N21" s="70">
        <f t="shared" si="9"/>
        <v>60000</v>
      </c>
    </row>
    <row r="22" spans="1:14" s="48" customFormat="1" ht="15.75" customHeight="1" x14ac:dyDescent="0.25">
      <c r="A22" s="122" t="s">
        <v>13</v>
      </c>
      <c r="B22" s="55">
        <v>5000</v>
      </c>
      <c r="C22" s="55">
        <f>+B22</f>
        <v>5000</v>
      </c>
      <c r="D22" s="55">
        <f t="shared" ref="D22:M22" si="11">+C22</f>
        <v>5000</v>
      </c>
      <c r="E22" s="55">
        <f t="shared" si="11"/>
        <v>5000</v>
      </c>
      <c r="F22" s="55">
        <f t="shared" si="11"/>
        <v>5000</v>
      </c>
      <c r="G22" s="55">
        <f t="shared" si="11"/>
        <v>5000</v>
      </c>
      <c r="H22" s="55">
        <f t="shared" si="11"/>
        <v>5000</v>
      </c>
      <c r="I22" s="55">
        <f t="shared" si="11"/>
        <v>5000</v>
      </c>
      <c r="J22" s="55">
        <f t="shared" si="11"/>
        <v>5000</v>
      </c>
      <c r="K22" s="55">
        <f t="shared" si="11"/>
        <v>5000</v>
      </c>
      <c r="L22" s="55">
        <f t="shared" si="11"/>
        <v>5000</v>
      </c>
      <c r="M22" s="55">
        <f t="shared" si="11"/>
        <v>5000</v>
      </c>
      <c r="N22" s="70">
        <f t="shared" si="9"/>
        <v>60000</v>
      </c>
    </row>
    <row r="23" spans="1:14" s="48" customFormat="1" ht="15.75" customHeight="1" x14ac:dyDescent="0.25">
      <c r="A23" s="122" t="s">
        <v>1</v>
      </c>
      <c r="B23" s="55">
        <v>5000</v>
      </c>
      <c r="C23" s="55">
        <f>+B23</f>
        <v>5000</v>
      </c>
      <c r="D23" s="55">
        <f>+C23</f>
        <v>5000</v>
      </c>
      <c r="E23" s="55">
        <f>+D23</f>
        <v>5000</v>
      </c>
      <c r="F23" s="55">
        <f t="shared" ref="F23:M23" si="12">+E23</f>
        <v>5000</v>
      </c>
      <c r="G23" s="55">
        <f t="shared" si="12"/>
        <v>5000</v>
      </c>
      <c r="H23" s="55">
        <f t="shared" si="12"/>
        <v>5000</v>
      </c>
      <c r="I23" s="55">
        <f t="shared" si="12"/>
        <v>5000</v>
      </c>
      <c r="J23" s="55">
        <f t="shared" si="12"/>
        <v>5000</v>
      </c>
      <c r="K23" s="55">
        <f t="shared" si="12"/>
        <v>5000</v>
      </c>
      <c r="L23" s="55">
        <f t="shared" si="12"/>
        <v>5000</v>
      </c>
      <c r="M23" s="55">
        <f t="shared" si="12"/>
        <v>5000</v>
      </c>
      <c r="N23" s="70">
        <f t="shared" si="9"/>
        <v>60000</v>
      </c>
    </row>
    <row r="24" spans="1:14" s="48" customFormat="1" ht="15.75" customHeight="1" x14ac:dyDescent="0.25">
      <c r="A24" s="122" t="s">
        <v>14</v>
      </c>
      <c r="B24" s="55">
        <v>5000</v>
      </c>
      <c r="C24" s="55">
        <f>B24</f>
        <v>5000</v>
      </c>
      <c r="D24" s="55">
        <f t="shared" ref="D24:M24" si="13">C24</f>
        <v>5000</v>
      </c>
      <c r="E24" s="55">
        <f t="shared" si="13"/>
        <v>5000</v>
      </c>
      <c r="F24" s="55">
        <f t="shared" si="13"/>
        <v>5000</v>
      </c>
      <c r="G24" s="55">
        <f t="shared" si="13"/>
        <v>5000</v>
      </c>
      <c r="H24" s="55">
        <f t="shared" si="13"/>
        <v>5000</v>
      </c>
      <c r="I24" s="55">
        <f t="shared" si="13"/>
        <v>5000</v>
      </c>
      <c r="J24" s="55">
        <f t="shared" si="13"/>
        <v>5000</v>
      </c>
      <c r="K24" s="55">
        <f t="shared" si="13"/>
        <v>5000</v>
      </c>
      <c r="L24" s="55">
        <f t="shared" si="13"/>
        <v>5000</v>
      </c>
      <c r="M24" s="55">
        <f t="shared" si="13"/>
        <v>5000</v>
      </c>
      <c r="N24" s="70">
        <f t="shared" si="9"/>
        <v>60000</v>
      </c>
    </row>
    <row r="25" spans="1:14" s="48" customFormat="1" ht="15.75" customHeight="1" x14ac:dyDescent="0.25">
      <c r="A25" s="122" t="s">
        <v>15</v>
      </c>
      <c r="B25" s="55">
        <v>5000</v>
      </c>
      <c r="C25" s="55">
        <f>+B25</f>
        <v>5000</v>
      </c>
      <c r="D25" s="55">
        <f t="shared" ref="D25:M25" si="14">+C25</f>
        <v>5000</v>
      </c>
      <c r="E25" s="55">
        <f t="shared" si="14"/>
        <v>5000</v>
      </c>
      <c r="F25" s="55">
        <f t="shared" si="14"/>
        <v>5000</v>
      </c>
      <c r="G25" s="55">
        <f t="shared" si="14"/>
        <v>5000</v>
      </c>
      <c r="H25" s="55">
        <f t="shared" si="14"/>
        <v>5000</v>
      </c>
      <c r="I25" s="55">
        <f t="shared" si="14"/>
        <v>5000</v>
      </c>
      <c r="J25" s="55">
        <f t="shared" si="14"/>
        <v>5000</v>
      </c>
      <c r="K25" s="55">
        <f t="shared" si="14"/>
        <v>5000</v>
      </c>
      <c r="L25" s="55">
        <f t="shared" si="14"/>
        <v>5000</v>
      </c>
      <c r="M25" s="55">
        <f t="shared" si="14"/>
        <v>5000</v>
      </c>
      <c r="N25" s="70">
        <f t="shared" si="9"/>
        <v>60000</v>
      </c>
    </row>
    <row r="26" spans="1:14" s="48" customFormat="1" ht="15.75" customHeight="1" x14ac:dyDescent="0.25">
      <c r="A26" s="122" t="s">
        <v>56</v>
      </c>
      <c r="B26" s="55">
        <v>40000</v>
      </c>
      <c r="C26" s="55">
        <v>40000</v>
      </c>
      <c r="D26" s="55">
        <v>40000</v>
      </c>
      <c r="E26" s="55">
        <v>40000</v>
      </c>
      <c r="F26" s="55">
        <v>40000</v>
      </c>
      <c r="G26" s="55">
        <v>40000</v>
      </c>
      <c r="H26" s="55">
        <v>40000</v>
      </c>
      <c r="I26" s="55">
        <v>40000</v>
      </c>
      <c r="J26" s="55">
        <v>40000</v>
      </c>
      <c r="K26" s="55">
        <v>40000</v>
      </c>
      <c r="L26" s="55">
        <v>40000</v>
      </c>
      <c r="M26" s="55">
        <v>40000</v>
      </c>
      <c r="N26" s="70">
        <f t="shared" si="9"/>
        <v>480000</v>
      </c>
    </row>
    <row r="27" spans="1:14" s="48" customFormat="1" ht="15.75" customHeight="1" x14ac:dyDescent="0.25">
      <c r="A27" s="122" t="s">
        <v>16</v>
      </c>
      <c r="B27" s="55">
        <v>5000</v>
      </c>
      <c r="C27" s="55">
        <f>B27</f>
        <v>5000</v>
      </c>
      <c r="D27" s="55">
        <f t="shared" ref="D27:M27" si="15">C27</f>
        <v>5000</v>
      </c>
      <c r="E27" s="55">
        <f t="shared" si="15"/>
        <v>5000</v>
      </c>
      <c r="F27" s="55">
        <f t="shared" si="15"/>
        <v>5000</v>
      </c>
      <c r="G27" s="55">
        <f t="shared" si="15"/>
        <v>5000</v>
      </c>
      <c r="H27" s="55">
        <f t="shared" si="15"/>
        <v>5000</v>
      </c>
      <c r="I27" s="55">
        <f t="shared" si="15"/>
        <v>5000</v>
      </c>
      <c r="J27" s="55">
        <f t="shared" si="15"/>
        <v>5000</v>
      </c>
      <c r="K27" s="55">
        <f t="shared" si="15"/>
        <v>5000</v>
      </c>
      <c r="L27" s="55">
        <f t="shared" si="15"/>
        <v>5000</v>
      </c>
      <c r="M27" s="55">
        <f t="shared" si="15"/>
        <v>5000</v>
      </c>
      <c r="N27" s="70">
        <f>SUM(B27:M27)</f>
        <v>60000</v>
      </c>
    </row>
    <row r="28" spans="1:14" s="48" customFormat="1" ht="15.75" customHeight="1" x14ac:dyDescent="0.25">
      <c r="A28" s="122" t="s">
        <v>5</v>
      </c>
      <c r="B28" s="55">
        <v>5000</v>
      </c>
      <c r="C28" s="55">
        <f>+B28</f>
        <v>5000</v>
      </c>
      <c r="D28" s="55">
        <f t="shared" ref="D28:M28" si="16">+C28</f>
        <v>5000</v>
      </c>
      <c r="E28" s="55">
        <f t="shared" si="16"/>
        <v>5000</v>
      </c>
      <c r="F28" s="55">
        <f t="shared" si="16"/>
        <v>5000</v>
      </c>
      <c r="G28" s="55">
        <f t="shared" si="16"/>
        <v>5000</v>
      </c>
      <c r="H28" s="55">
        <f t="shared" si="16"/>
        <v>5000</v>
      </c>
      <c r="I28" s="55">
        <f t="shared" si="16"/>
        <v>5000</v>
      </c>
      <c r="J28" s="55">
        <f t="shared" si="16"/>
        <v>5000</v>
      </c>
      <c r="K28" s="55">
        <f t="shared" si="16"/>
        <v>5000</v>
      </c>
      <c r="L28" s="55">
        <f t="shared" si="16"/>
        <v>5000</v>
      </c>
      <c r="M28" s="55">
        <f t="shared" si="16"/>
        <v>5000</v>
      </c>
      <c r="N28" s="70">
        <f t="shared" ref="N28:N46" si="17">SUM(B28:M28)</f>
        <v>60000</v>
      </c>
    </row>
    <row r="29" spans="1:14" s="48" customFormat="1" ht="15.75" customHeight="1" x14ac:dyDescent="0.25">
      <c r="A29" s="122" t="s">
        <v>37</v>
      </c>
      <c r="B29" s="55">
        <v>5000</v>
      </c>
      <c r="C29" s="55">
        <v>5000</v>
      </c>
      <c r="D29" s="55">
        <v>5000</v>
      </c>
      <c r="E29" s="55">
        <v>5000</v>
      </c>
      <c r="F29" s="55">
        <v>5000</v>
      </c>
      <c r="G29" s="55">
        <v>5000</v>
      </c>
      <c r="H29" s="55">
        <v>5000</v>
      </c>
      <c r="I29" s="55">
        <v>5000</v>
      </c>
      <c r="J29" s="55">
        <v>5000</v>
      </c>
      <c r="K29" s="55">
        <v>5000</v>
      </c>
      <c r="L29" s="55">
        <v>5000</v>
      </c>
      <c r="M29" s="55">
        <v>5000</v>
      </c>
      <c r="N29" s="70">
        <f t="shared" si="17"/>
        <v>60000</v>
      </c>
    </row>
    <row r="30" spans="1:14" s="48" customFormat="1" ht="15.75" customHeight="1" x14ac:dyDescent="0.25">
      <c r="A30" s="122" t="s">
        <v>18</v>
      </c>
      <c r="B30" s="55">
        <v>5000</v>
      </c>
      <c r="C30" s="55">
        <f>B30</f>
        <v>5000</v>
      </c>
      <c r="D30" s="55">
        <f t="shared" ref="D30:M30" si="18">C30</f>
        <v>5000</v>
      </c>
      <c r="E30" s="55">
        <f t="shared" si="18"/>
        <v>5000</v>
      </c>
      <c r="F30" s="55">
        <f t="shared" si="18"/>
        <v>5000</v>
      </c>
      <c r="G30" s="55">
        <f t="shared" si="18"/>
        <v>5000</v>
      </c>
      <c r="H30" s="55">
        <f t="shared" si="18"/>
        <v>5000</v>
      </c>
      <c r="I30" s="55">
        <f t="shared" si="18"/>
        <v>5000</v>
      </c>
      <c r="J30" s="55">
        <f t="shared" si="18"/>
        <v>5000</v>
      </c>
      <c r="K30" s="55">
        <f t="shared" si="18"/>
        <v>5000</v>
      </c>
      <c r="L30" s="55">
        <f t="shared" si="18"/>
        <v>5000</v>
      </c>
      <c r="M30" s="55">
        <f t="shared" si="18"/>
        <v>5000</v>
      </c>
      <c r="N30" s="70">
        <f t="shared" si="17"/>
        <v>60000</v>
      </c>
    </row>
    <row r="31" spans="1:14" s="48" customFormat="1" ht="15.75" customHeight="1" x14ac:dyDescent="0.25">
      <c r="A31" s="122" t="s">
        <v>19</v>
      </c>
      <c r="B31" s="55">
        <v>5000</v>
      </c>
      <c r="C31" s="55">
        <f>+B31</f>
        <v>5000</v>
      </c>
      <c r="D31" s="55">
        <f t="shared" ref="D31:M31" si="19">+C31</f>
        <v>5000</v>
      </c>
      <c r="E31" s="55">
        <f t="shared" si="19"/>
        <v>5000</v>
      </c>
      <c r="F31" s="55">
        <f t="shared" si="19"/>
        <v>5000</v>
      </c>
      <c r="G31" s="55">
        <f t="shared" si="19"/>
        <v>5000</v>
      </c>
      <c r="H31" s="55">
        <f t="shared" si="19"/>
        <v>5000</v>
      </c>
      <c r="I31" s="55">
        <f t="shared" si="19"/>
        <v>5000</v>
      </c>
      <c r="J31" s="55">
        <f t="shared" si="19"/>
        <v>5000</v>
      </c>
      <c r="K31" s="55">
        <f t="shared" si="19"/>
        <v>5000</v>
      </c>
      <c r="L31" s="55">
        <f t="shared" si="19"/>
        <v>5000</v>
      </c>
      <c r="M31" s="55">
        <f t="shared" si="19"/>
        <v>5000</v>
      </c>
      <c r="N31" s="70">
        <f t="shared" si="17"/>
        <v>60000</v>
      </c>
    </row>
    <row r="32" spans="1:14" s="48" customFormat="1" ht="15.75" customHeight="1" x14ac:dyDescent="0.25">
      <c r="A32" s="122" t="s">
        <v>20</v>
      </c>
      <c r="B32" s="55">
        <v>15000</v>
      </c>
      <c r="C32" s="55">
        <v>15000</v>
      </c>
      <c r="D32" s="55">
        <v>15000</v>
      </c>
      <c r="E32" s="55">
        <v>15000</v>
      </c>
      <c r="F32" s="55">
        <v>15000</v>
      </c>
      <c r="G32" s="55">
        <v>15000</v>
      </c>
      <c r="H32" s="55">
        <v>15000</v>
      </c>
      <c r="I32" s="55">
        <v>15000</v>
      </c>
      <c r="J32" s="55">
        <v>15000</v>
      </c>
      <c r="K32" s="55">
        <v>15000</v>
      </c>
      <c r="L32" s="55">
        <v>15000</v>
      </c>
      <c r="M32" s="55">
        <v>15000</v>
      </c>
      <c r="N32" s="70">
        <f t="shared" si="17"/>
        <v>180000</v>
      </c>
    </row>
    <row r="33" spans="1:14" s="48" customFormat="1" ht="15.75" customHeight="1" x14ac:dyDescent="0.25">
      <c r="A33" s="122" t="s">
        <v>38</v>
      </c>
      <c r="B33" s="55">
        <v>370000</v>
      </c>
      <c r="C33" s="55">
        <v>370000</v>
      </c>
      <c r="D33" s="55">
        <v>370000</v>
      </c>
      <c r="E33" s="55">
        <v>370000</v>
      </c>
      <c r="F33" s="55">
        <v>370000</v>
      </c>
      <c r="G33" s="55">
        <v>370000</v>
      </c>
      <c r="H33" s="55">
        <v>370000</v>
      </c>
      <c r="I33" s="55">
        <v>370000</v>
      </c>
      <c r="J33" s="55">
        <v>370000</v>
      </c>
      <c r="K33" s="55">
        <v>370000</v>
      </c>
      <c r="L33" s="55">
        <v>370000</v>
      </c>
      <c r="M33" s="55">
        <v>370000</v>
      </c>
      <c r="N33" s="70">
        <f t="shared" si="17"/>
        <v>4440000</v>
      </c>
    </row>
    <row r="34" spans="1:14" s="48" customFormat="1" ht="15.75" customHeight="1" x14ac:dyDescent="0.25">
      <c r="A34" s="122" t="s">
        <v>21</v>
      </c>
      <c r="B34" s="55">
        <v>85000</v>
      </c>
      <c r="C34" s="55">
        <v>85000</v>
      </c>
      <c r="D34" s="55">
        <v>85000</v>
      </c>
      <c r="E34" s="55">
        <v>85000</v>
      </c>
      <c r="F34" s="55">
        <v>85000</v>
      </c>
      <c r="G34" s="55">
        <v>85000</v>
      </c>
      <c r="H34" s="55">
        <v>85000</v>
      </c>
      <c r="I34" s="55">
        <v>85000</v>
      </c>
      <c r="J34" s="55">
        <v>85000</v>
      </c>
      <c r="K34" s="55">
        <v>85000</v>
      </c>
      <c r="L34" s="55">
        <v>85000</v>
      </c>
      <c r="M34" s="55">
        <v>85000</v>
      </c>
      <c r="N34" s="70">
        <f t="shared" si="17"/>
        <v>1020000</v>
      </c>
    </row>
    <row r="35" spans="1:14" s="48" customFormat="1" ht="15.75" customHeight="1" x14ac:dyDescent="0.25">
      <c r="A35" s="122" t="s">
        <v>22</v>
      </c>
      <c r="B35" s="55">
        <v>5000</v>
      </c>
      <c r="C35" s="55">
        <f>B35</f>
        <v>5000</v>
      </c>
      <c r="D35" s="55">
        <f t="shared" ref="D35:M35" si="20">C35</f>
        <v>5000</v>
      </c>
      <c r="E35" s="55">
        <f t="shared" si="20"/>
        <v>5000</v>
      </c>
      <c r="F35" s="55">
        <f t="shared" si="20"/>
        <v>5000</v>
      </c>
      <c r="G35" s="55">
        <f t="shared" si="20"/>
        <v>5000</v>
      </c>
      <c r="H35" s="55">
        <f t="shared" si="20"/>
        <v>5000</v>
      </c>
      <c r="I35" s="55">
        <f t="shared" si="20"/>
        <v>5000</v>
      </c>
      <c r="J35" s="55">
        <f t="shared" si="20"/>
        <v>5000</v>
      </c>
      <c r="K35" s="55">
        <f t="shared" si="20"/>
        <v>5000</v>
      </c>
      <c r="L35" s="55">
        <f t="shared" si="20"/>
        <v>5000</v>
      </c>
      <c r="M35" s="55">
        <f t="shared" si="20"/>
        <v>5000</v>
      </c>
      <c r="N35" s="70">
        <f t="shared" si="17"/>
        <v>60000</v>
      </c>
    </row>
    <row r="36" spans="1:14" s="48" customFormat="1" ht="15.75" customHeight="1" x14ac:dyDescent="0.25">
      <c r="A36" s="122" t="s">
        <v>23</v>
      </c>
      <c r="B36" s="55">
        <v>260000</v>
      </c>
      <c r="C36" s="55">
        <f>+B36</f>
        <v>260000</v>
      </c>
      <c r="D36" s="55">
        <f t="shared" ref="D36:M36" si="21">+C36</f>
        <v>260000</v>
      </c>
      <c r="E36" s="55">
        <f t="shared" si="21"/>
        <v>260000</v>
      </c>
      <c r="F36" s="55">
        <f t="shared" si="21"/>
        <v>260000</v>
      </c>
      <c r="G36" s="55">
        <f t="shared" si="21"/>
        <v>260000</v>
      </c>
      <c r="H36" s="55">
        <f t="shared" si="21"/>
        <v>260000</v>
      </c>
      <c r="I36" s="55">
        <f t="shared" si="21"/>
        <v>260000</v>
      </c>
      <c r="J36" s="55">
        <f t="shared" si="21"/>
        <v>260000</v>
      </c>
      <c r="K36" s="55">
        <f t="shared" si="21"/>
        <v>260000</v>
      </c>
      <c r="L36" s="55">
        <f t="shared" si="21"/>
        <v>260000</v>
      </c>
      <c r="M36" s="55">
        <f t="shared" si="21"/>
        <v>260000</v>
      </c>
      <c r="N36" s="70">
        <f t="shared" si="17"/>
        <v>3120000</v>
      </c>
    </row>
    <row r="37" spans="1:14" s="48" customFormat="1" ht="15.75" customHeight="1" x14ac:dyDescent="0.25">
      <c r="A37" s="134" t="s">
        <v>95</v>
      </c>
      <c r="B37" s="55">
        <v>75000</v>
      </c>
      <c r="C37" s="55">
        <f>B37</f>
        <v>75000</v>
      </c>
      <c r="D37" s="55">
        <f t="shared" ref="D37:M38" si="22">C37</f>
        <v>75000</v>
      </c>
      <c r="E37" s="55">
        <f t="shared" si="22"/>
        <v>75000</v>
      </c>
      <c r="F37" s="55">
        <f t="shared" si="22"/>
        <v>75000</v>
      </c>
      <c r="G37" s="55">
        <f t="shared" si="22"/>
        <v>75000</v>
      </c>
      <c r="H37" s="55">
        <f t="shared" si="22"/>
        <v>75000</v>
      </c>
      <c r="I37" s="55">
        <f t="shared" si="22"/>
        <v>75000</v>
      </c>
      <c r="J37" s="55">
        <f t="shared" si="22"/>
        <v>75000</v>
      </c>
      <c r="K37" s="55">
        <f t="shared" si="22"/>
        <v>75000</v>
      </c>
      <c r="L37" s="55">
        <f t="shared" si="22"/>
        <v>75000</v>
      </c>
      <c r="M37" s="55">
        <f t="shared" si="22"/>
        <v>75000</v>
      </c>
      <c r="N37" s="70">
        <f t="shared" si="17"/>
        <v>900000</v>
      </c>
    </row>
    <row r="38" spans="1:14" s="48" customFormat="1" ht="15.75" customHeight="1" x14ac:dyDescent="0.25">
      <c r="A38" s="122" t="s">
        <v>39</v>
      </c>
      <c r="B38" s="55">
        <v>600000</v>
      </c>
      <c r="C38" s="55">
        <f>B38</f>
        <v>600000</v>
      </c>
      <c r="D38" s="55">
        <f t="shared" si="22"/>
        <v>600000</v>
      </c>
      <c r="E38" s="55">
        <f t="shared" si="22"/>
        <v>600000</v>
      </c>
      <c r="F38" s="55">
        <f t="shared" si="22"/>
        <v>600000</v>
      </c>
      <c r="G38" s="55">
        <f t="shared" si="22"/>
        <v>600000</v>
      </c>
      <c r="H38" s="55">
        <f t="shared" si="22"/>
        <v>600000</v>
      </c>
      <c r="I38" s="55">
        <f t="shared" si="22"/>
        <v>600000</v>
      </c>
      <c r="J38" s="55">
        <f t="shared" si="22"/>
        <v>600000</v>
      </c>
      <c r="K38" s="55">
        <f t="shared" si="22"/>
        <v>600000</v>
      </c>
      <c r="L38" s="55">
        <f t="shared" si="22"/>
        <v>600000</v>
      </c>
      <c r="M38" s="55">
        <f t="shared" si="22"/>
        <v>600000</v>
      </c>
      <c r="N38" s="70">
        <f>SUM(B38:M38)</f>
        <v>7200000</v>
      </c>
    </row>
    <row r="39" spans="1:14" s="78" customFormat="1" ht="15.75" hidden="1" customHeight="1" x14ac:dyDescent="0.25">
      <c r="A39" s="135"/>
      <c r="B39" s="180"/>
      <c r="C39" s="180"/>
      <c r="D39" s="180"/>
      <c r="E39" s="180"/>
      <c r="F39" s="180"/>
      <c r="G39" s="180"/>
      <c r="H39" s="180"/>
      <c r="I39" s="180"/>
      <c r="J39" s="180"/>
      <c r="K39" s="180"/>
      <c r="L39" s="180"/>
      <c r="M39" s="180"/>
      <c r="N39" s="181"/>
    </row>
    <row r="40" spans="1:14" s="48" customFormat="1" ht="15.75" customHeight="1" x14ac:dyDescent="0.25">
      <c r="A40" s="138" t="s">
        <v>24</v>
      </c>
      <c r="B40" s="55">
        <f>0.05*B36</f>
        <v>13000</v>
      </c>
      <c r="C40" s="55">
        <f t="shared" ref="C40:M40" si="23">0.05*C36</f>
        <v>13000</v>
      </c>
      <c r="D40" s="55">
        <f t="shared" si="23"/>
        <v>13000</v>
      </c>
      <c r="E40" s="55">
        <f t="shared" si="23"/>
        <v>13000</v>
      </c>
      <c r="F40" s="55">
        <f t="shared" si="23"/>
        <v>13000</v>
      </c>
      <c r="G40" s="55">
        <f t="shared" si="23"/>
        <v>13000</v>
      </c>
      <c r="H40" s="55">
        <f t="shared" si="23"/>
        <v>13000</v>
      </c>
      <c r="I40" s="55">
        <f t="shared" si="23"/>
        <v>13000</v>
      </c>
      <c r="J40" s="55">
        <f t="shared" si="23"/>
        <v>13000</v>
      </c>
      <c r="K40" s="55">
        <f t="shared" si="23"/>
        <v>13000</v>
      </c>
      <c r="L40" s="55">
        <f t="shared" si="23"/>
        <v>13000</v>
      </c>
      <c r="M40" s="55">
        <f t="shared" si="23"/>
        <v>13000</v>
      </c>
      <c r="N40" s="70">
        <f t="shared" si="17"/>
        <v>156000</v>
      </c>
    </row>
    <row r="41" spans="1:14" s="48" customFormat="1" ht="15.75" customHeight="1" x14ac:dyDescent="0.25">
      <c r="A41" s="138" t="s">
        <v>25</v>
      </c>
      <c r="B41" s="55">
        <v>30000</v>
      </c>
      <c r="C41" s="55">
        <f>+B41</f>
        <v>30000</v>
      </c>
      <c r="D41" s="55">
        <f t="shared" ref="D41:M41" si="24">+C41</f>
        <v>30000</v>
      </c>
      <c r="E41" s="55">
        <f t="shared" si="24"/>
        <v>30000</v>
      </c>
      <c r="F41" s="55">
        <f t="shared" si="24"/>
        <v>30000</v>
      </c>
      <c r="G41" s="55">
        <f t="shared" si="24"/>
        <v>30000</v>
      </c>
      <c r="H41" s="55">
        <f t="shared" si="24"/>
        <v>30000</v>
      </c>
      <c r="I41" s="55">
        <f t="shared" si="24"/>
        <v>30000</v>
      </c>
      <c r="J41" s="55">
        <f t="shared" si="24"/>
        <v>30000</v>
      </c>
      <c r="K41" s="55">
        <f t="shared" si="24"/>
        <v>30000</v>
      </c>
      <c r="L41" s="55">
        <f t="shared" si="24"/>
        <v>30000</v>
      </c>
      <c r="M41" s="55">
        <f t="shared" si="24"/>
        <v>30000</v>
      </c>
      <c r="N41" s="70">
        <f t="shared" si="17"/>
        <v>360000</v>
      </c>
    </row>
    <row r="42" spans="1:14" s="48" customFormat="1" ht="15.75" hidden="1" customHeight="1" x14ac:dyDescent="0.25">
      <c r="A42" s="122" t="s">
        <v>26</v>
      </c>
      <c r="B42" s="55"/>
      <c r="C42" s="55">
        <v>0</v>
      </c>
      <c r="D42" s="55">
        <v>0</v>
      </c>
      <c r="E42" s="55">
        <v>0</v>
      </c>
      <c r="F42" s="55">
        <v>0</v>
      </c>
      <c r="G42" s="55">
        <v>0</v>
      </c>
      <c r="H42" s="55">
        <v>0</v>
      </c>
      <c r="I42" s="55">
        <v>0</v>
      </c>
      <c r="J42" s="55">
        <v>0</v>
      </c>
      <c r="K42" s="55">
        <v>0</v>
      </c>
      <c r="L42" s="55">
        <v>0</v>
      </c>
      <c r="M42" s="55">
        <v>0</v>
      </c>
      <c r="N42" s="70">
        <f t="shared" si="17"/>
        <v>0</v>
      </c>
    </row>
    <row r="43" spans="1:14" s="48" customFormat="1" ht="15.75" customHeight="1" x14ac:dyDescent="0.25">
      <c r="A43" s="122" t="s">
        <v>27</v>
      </c>
      <c r="B43" s="55">
        <v>5000</v>
      </c>
      <c r="C43" s="55">
        <f>B43</f>
        <v>5000</v>
      </c>
      <c r="D43" s="55">
        <f t="shared" ref="D43:M43" si="25">C43</f>
        <v>5000</v>
      </c>
      <c r="E43" s="55">
        <f t="shared" si="25"/>
        <v>5000</v>
      </c>
      <c r="F43" s="55">
        <f t="shared" si="25"/>
        <v>5000</v>
      </c>
      <c r="G43" s="55">
        <f t="shared" si="25"/>
        <v>5000</v>
      </c>
      <c r="H43" s="55">
        <f t="shared" si="25"/>
        <v>5000</v>
      </c>
      <c r="I43" s="55">
        <f t="shared" si="25"/>
        <v>5000</v>
      </c>
      <c r="J43" s="55">
        <f t="shared" si="25"/>
        <v>5000</v>
      </c>
      <c r="K43" s="55">
        <f t="shared" si="25"/>
        <v>5000</v>
      </c>
      <c r="L43" s="55">
        <f t="shared" si="25"/>
        <v>5000</v>
      </c>
      <c r="M43" s="55">
        <f t="shared" si="25"/>
        <v>5000</v>
      </c>
      <c r="N43" s="70">
        <f t="shared" si="17"/>
        <v>60000</v>
      </c>
    </row>
    <row r="44" spans="1:14" s="48" customFormat="1" ht="15.75" customHeight="1" x14ac:dyDescent="0.25">
      <c r="A44" s="122" t="s">
        <v>28</v>
      </c>
      <c r="B44" s="55">
        <v>20000</v>
      </c>
      <c r="C44" s="55">
        <f>+B44</f>
        <v>20000</v>
      </c>
      <c r="D44" s="55">
        <f t="shared" ref="D44:M44" si="26">+C44</f>
        <v>20000</v>
      </c>
      <c r="E44" s="55">
        <f t="shared" si="26"/>
        <v>20000</v>
      </c>
      <c r="F44" s="55">
        <f t="shared" si="26"/>
        <v>20000</v>
      </c>
      <c r="G44" s="55">
        <f t="shared" si="26"/>
        <v>20000</v>
      </c>
      <c r="H44" s="55">
        <f t="shared" si="26"/>
        <v>20000</v>
      </c>
      <c r="I44" s="55">
        <f t="shared" si="26"/>
        <v>20000</v>
      </c>
      <c r="J44" s="55">
        <f t="shared" si="26"/>
        <v>20000</v>
      </c>
      <c r="K44" s="55">
        <f t="shared" si="26"/>
        <v>20000</v>
      </c>
      <c r="L44" s="55">
        <f t="shared" si="26"/>
        <v>20000</v>
      </c>
      <c r="M44" s="55">
        <f t="shared" si="26"/>
        <v>20000</v>
      </c>
      <c r="N44" s="70">
        <f t="shared" si="17"/>
        <v>240000</v>
      </c>
    </row>
    <row r="45" spans="1:14" s="48" customFormat="1" ht="15.75" customHeight="1" x14ac:dyDescent="0.25">
      <c r="A45" s="122" t="s">
        <v>29</v>
      </c>
      <c r="B45" s="55">
        <v>20000</v>
      </c>
      <c r="C45" s="55">
        <f>B45</f>
        <v>20000</v>
      </c>
      <c r="D45" s="55">
        <f t="shared" ref="D45:M45" si="27">C45</f>
        <v>20000</v>
      </c>
      <c r="E45" s="55">
        <f t="shared" si="27"/>
        <v>20000</v>
      </c>
      <c r="F45" s="55">
        <f t="shared" si="27"/>
        <v>20000</v>
      </c>
      <c r="G45" s="55">
        <f t="shared" si="27"/>
        <v>20000</v>
      </c>
      <c r="H45" s="55">
        <f t="shared" si="27"/>
        <v>20000</v>
      </c>
      <c r="I45" s="55">
        <f t="shared" si="27"/>
        <v>20000</v>
      </c>
      <c r="J45" s="55">
        <f t="shared" si="27"/>
        <v>20000</v>
      </c>
      <c r="K45" s="55">
        <f t="shared" si="27"/>
        <v>20000</v>
      </c>
      <c r="L45" s="55">
        <f t="shared" si="27"/>
        <v>20000</v>
      </c>
      <c r="M45" s="55">
        <f t="shared" si="27"/>
        <v>20000</v>
      </c>
      <c r="N45" s="70">
        <f t="shared" si="17"/>
        <v>240000</v>
      </c>
    </row>
    <row r="46" spans="1:14" s="48" customFormat="1" ht="15.75" customHeight="1" x14ac:dyDescent="0.25">
      <c r="A46" s="122" t="s">
        <v>30</v>
      </c>
      <c r="B46" s="55">
        <v>5000</v>
      </c>
      <c r="C46" s="55">
        <v>5000</v>
      </c>
      <c r="D46" s="55">
        <v>5000</v>
      </c>
      <c r="E46" s="55">
        <v>5000</v>
      </c>
      <c r="F46" s="55">
        <v>5000</v>
      </c>
      <c r="G46" s="55">
        <v>5000</v>
      </c>
      <c r="H46" s="55">
        <v>5000</v>
      </c>
      <c r="I46" s="55">
        <v>5000</v>
      </c>
      <c r="J46" s="55">
        <v>5000</v>
      </c>
      <c r="K46" s="55">
        <v>5000</v>
      </c>
      <c r="L46" s="55">
        <v>5000</v>
      </c>
      <c r="M46" s="55">
        <v>5000</v>
      </c>
      <c r="N46" s="70">
        <f t="shared" si="17"/>
        <v>60000</v>
      </c>
    </row>
    <row r="47" spans="1:14" s="48" customFormat="1" ht="15.75" customHeight="1" x14ac:dyDescent="0.25">
      <c r="A47" s="122" t="s">
        <v>115</v>
      </c>
      <c r="B47" s="55">
        <v>2500</v>
      </c>
      <c r="C47" s="55">
        <f>+B47</f>
        <v>2500</v>
      </c>
      <c r="D47" s="55">
        <f t="shared" ref="D47:M47" si="28">+C47</f>
        <v>2500</v>
      </c>
      <c r="E47" s="55">
        <f t="shared" si="28"/>
        <v>2500</v>
      </c>
      <c r="F47" s="55">
        <f t="shared" si="28"/>
        <v>2500</v>
      </c>
      <c r="G47" s="55">
        <f t="shared" si="28"/>
        <v>2500</v>
      </c>
      <c r="H47" s="55">
        <f t="shared" si="28"/>
        <v>2500</v>
      </c>
      <c r="I47" s="55">
        <f t="shared" si="28"/>
        <v>2500</v>
      </c>
      <c r="J47" s="55">
        <f t="shared" si="28"/>
        <v>2500</v>
      </c>
      <c r="K47" s="55">
        <f t="shared" si="28"/>
        <v>2500</v>
      </c>
      <c r="L47" s="55">
        <f t="shared" si="28"/>
        <v>2500</v>
      </c>
      <c r="M47" s="55">
        <f t="shared" si="28"/>
        <v>2500</v>
      </c>
      <c r="N47" s="70">
        <f>SUM(B47:M47)</f>
        <v>30000</v>
      </c>
    </row>
    <row r="48" spans="1:14" ht="15" customHeight="1" x14ac:dyDescent="0.25">
      <c r="A48" s="139" t="s">
        <v>31</v>
      </c>
      <c r="B48" s="64">
        <f t="shared" ref="B48:M48" si="29">SUM(B20:B47)</f>
        <v>1600500</v>
      </c>
      <c r="C48" s="64">
        <f t="shared" si="29"/>
        <v>1600500</v>
      </c>
      <c r="D48" s="64">
        <f t="shared" si="29"/>
        <v>1600500</v>
      </c>
      <c r="E48" s="64">
        <f t="shared" si="29"/>
        <v>1600500</v>
      </c>
      <c r="F48" s="64">
        <f t="shared" si="29"/>
        <v>1600500</v>
      </c>
      <c r="G48" s="64">
        <f t="shared" si="29"/>
        <v>1600500</v>
      </c>
      <c r="H48" s="64">
        <f t="shared" si="29"/>
        <v>1600500</v>
      </c>
      <c r="I48" s="64">
        <f t="shared" si="29"/>
        <v>1600500</v>
      </c>
      <c r="J48" s="64">
        <f t="shared" si="29"/>
        <v>1600500</v>
      </c>
      <c r="K48" s="64">
        <f t="shared" si="29"/>
        <v>1600500</v>
      </c>
      <c r="L48" s="64">
        <f t="shared" si="29"/>
        <v>1600500</v>
      </c>
      <c r="M48" s="64">
        <f t="shared" si="29"/>
        <v>1600500</v>
      </c>
      <c r="N48" s="64">
        <f>SUM(N20:N47)</f>
        <v>19206000</v>
      </c>
    </row>
    <row r="49" spans="1:14" s="91" customFormat="1" ht="18.75" customHeight="1" x14ac:dyDescent="0.35">
      <c r="A49" s="89" t="s">
        <v>110</v>
      </c>
      <c r="B49" s="166">
        <f t="shared" ref="B49:M49" si="30">B48/B17</f>
        <v>1.3543239871298183</v>
      </c>
      <c r="C49" s="166">
        <f t="shared" si="30"/>
        <v>1.3543239871298183</v>
      </c>
      <c r="D49" s="166">
        <f t="shared" si="30"/>
        <v>1.3543239871298183</v>
      </c>
      <c r="E49" s="166">
        <f t="shared" si="30"/>
        <v>1.082621506592458</v>
      </c>
      <c r="F49" s="166">
        <f t="shared" si="30"/>
        <v>1.082621506592458</v>
      </c>
      <c r="G49" s="166">
        <f t="shared" si="30"/>
        <v>1.082621506592458</v>
      </c>
      <c r="H49" s="166">
        <f t="shared" si="30"/>
        <v>0.88015718215959615</v>
      </c>
      <c r="I49" s="166">
        <f t="shared" si="30"/>
        <v>0.88015718215959615</v>
      </c>
      <c r="J49" s="166">
        <f t="shared" si="30"/>
        <v>0.88015718215959615</v>
      </c>
      <c r="K49" s="166">
        <f t="shared" si="30"/>
        <v>0.7637983354779817</v>
      </c>
      <c r="L49" s="166">
        <f t="shared" si="30"/>
        <v>0.7637983354779817</v>
      </c>
      <c r="M49" s="166">
        <f t="shared" si="30"/>
        <v>0.7637983354779817</v>
      </c>
      <c r="N49" s="166">
        <f>N48/N17</f>
        <v>0.97383632491633709</v>
      </c>
    </row>
    <row r="50" spans="1:14" ht="15" customHeight="1" x14ac:dyDescent="0.25">
      <c r="A50" s="120" t="s">
        <v>45</v>
      </c>
      <c r="B50" s="85">
        <f t="shared" ref="B50:N50" si="31">B17-B48</f>
        <v>-418729.60000000009</v>
      </c>
      <c r="C50" s="85">
        <f t="shared" si="31"/>
        <v>-418729.60000000009</v>
      </c>
      <c r="D50" s="85">
        <f t="shared" si="31"/>
        <v>-418729.60000000009</v>
      </c>
      <c r="E50" s="85">
        <f t="shared" si="31"/>
        <v>-122144</v>
      </c>
      <c r="F50" s="85">
        <f t="shared" si="31"/>
        <v>-122144</v>
      </c>
      <c r="G50" s="85">
        <f t="shared" si="31"/>
        <v>-122144</v>
      </c>
      <c r="H50" s="85">
        <f t="shared" si="31"/>
        <v>217925.19999999995</v>
      </c>
      <c r="I50" s="85">
        <f t="shared" si="31"/>
        <v>217925.19999999995</v>
      </c>
      <c r="J50" s="85">
        <f t="shared" si="31"/>
        <v>217925.19999999995</v>
      </c>
      <c r="K50" s="85">
        <f t="shared" si="31"/>
        <v>494948.39999999991</v>
      </c>
      <c r="L50" s="85">
        <f t="shared" si="31"/>
        <v>494948.39999999991</v>
      </c>
      <c r="M50" s="85">
        <f t="shared" si="31"/>
        <v>494948.39999999991</v>
      </c>
      <c r="N50" s="85">
        <f t="shared" si="31"/>
        <v>516000</v>
      </c>
    </row>
    <row r="51" spans="1:14" ht="15" customHeight="1" x14ac:dyDescent="0.25">
      <c r="A51" s="140" t="s">
        <v>46</v>
      </c>
      <c r="B51" s="60">
        <f>0.3*B50</f>
        <v>-125618.88000000002</v>
      </c>
      <c r="C51" s="60">
        <f t="shared" ref="C51:M51" si="32">0.3*C50</f>
        <v>-125618.88000000002</v>
      </c>
      <c r="D51" s="60">
        <f t="shared" si="32"/>
        <v>-125618.88000000002</v>
      </c>
      <c r="E51" s="60">
        <f t="shared" si="32"/>
        <v>-36643.199999999997</v>
      </c>
      <c r="F51" s="60">
        <f t="shared" si="32"/>
        <v>-36643.199999999997</v>
      </c>
      <c r="G51" s="60">
        <f t="shared" si="32"/>
        <v>-36643.199999999997</v>
      </c>
      <c r="H51" s="60">
        <f t="shared" si="32"/>
        <v>65377.559999999983</v>
      </c>
      <c r="I51" s="60">
        <f t="shared" si="32"/>
        <v>65377.559999999983</v>
      </c>
      <c r="J51" s="60">
        <f t="shared" si="32"/>
        <v>65377.559999999983</v>
      </c>
      <c r="K51" s="60">
        <f t="shared" si="32"/>
        <v>148484.51999999996</v>
      </c>
      <c r="L51" s="60">
        <f t="shared" si="32"/>
        <v>148484.51999999996</v>
      </c>
      <c r="M51" s="60">
        <f t="shared" si="32"/>
        <v>148484.51999999996</v>
      </c>
      <c r="N51" s="70">
        <f>SUM(B51:M51)</f>
        <v>154799.99999999977</v>
      </c>
    </row>
    <row r="52" spans="1:14" ht="15" customHeight="1" x14ac:dyDescent="0.25">
      <c r="B52" s="152"/>
      <c r="C52" s="152"/>
      <c r="D52" s="152"/>
      <c r="E52" s="152"/>
      <c r="F52" s="152"/>
      <c r="G52" s="152"/>
      <c r="H52" s="152"/>
      <c r="I52" s="152"/>
      <c r="J52" s="152"/>
      <c r="K52" s="152"/>
      <c r="L52" s="155"/>
      <c r="M52" s="155"/>
      <c r="N52" s="155"/>
    </row>
    <row r="53" spans="1:14" ht="15" customHeight="1" x14ac:dyDescent="0.25">
      <c r="A53" s="120" t="s">
        <v>47</v>
      </c>
      <c r="B53" s="85">
        <f>B50-B51</f>
        <v>-293110.72000000009</v>
      </c>
      <c r="C53" s="85">
        <f t="shared" ref="C53:N53" si="33">C50-C51</f>
        <v>-293110.72000000009</v>
      </c>
      <c r="D53" s="85">
        <f t="shared" si="33"/>
        <v>-293110.72000000009</v>
      </c>
      <c r="E53" s="85">
        <f t="shared" si="33"/>
        <v>-85500.800000000003</v>
      </c>
      <c r="F53" s="85">
        <f t="shared" si="33"/>
        <v>-85500.800000000003</v>
      </c>
      <c r="G53" s="85">
        <f t="shared" si="33"/>
        <v>-85500.800000000003</v>
      </c>
      <c r="H53" s="85">
        <f t="shared" si="33"/>
        <v>152547.63999999996</v>
      </c>
      <c r="I53" s="85">
        <f t="shared" si="33"/>
        <v>152547.63999999996</v>
      </c>
      <c r="J53" s="85">
        <f t="shared" si="33"/>
        <v>152547.63999999996</v>
      </c>
      <c r="K53" s="85">
        <f t="shared" si="33"/>
        <v>346463.87999999995</v>
      </c>
      <c r="L53" s="85">
        <f t="shared" si="33"/>
        <v>346463.87999999995</v>
      </c>
      <c r="M53" s="85">
        <f t="shared" si="33"/>
        <v>346463.87999999995</v>
      </c>
      <c r="N53" s="85">
        <f t="shared" si="33"/>
        <v>361200.00000000023</v>
      </c>
    </row>
    <row r="54" spans="1:14" s="91" customFormat="1" ht="15" customHeight="1" x14ac:dyDescent="0.35">
      <c r="A54" s="89" t="s">
        <v>109</v>
      </c>
      <c r="B54" s="168">
        <f>B53/B17</f>
        <v>-0.24802679099087277</v>
      </c>
      <c r="C54" s="168">
        <f t="shared" ref="C54:N54" si="34">C53/C17</f>
        <v>-0.24802679099087277</v>
      </c>
      <c r="D54" s="168">
        <f t="shared" si="34"/>
        <v>-0.24802679099087277</v>
      </c>
      <c r="E54" s="168">
        <f t="shared" si="34"/>
        <v>-5.7835054614720681E-2</v>
      </c>
      <c r="F54" s="168">
        <f t="shared" si="34"/>
        <v>-5.7835054614720681E-2</v>
      </c>
      <c r="G54" s="168">
        <f t="shared" si="34"/>
        <v>-5.7835054614720681E-2</v>
      </c>
      <c r="H54" s="168">
        <f t="shared" si="34"/>
        <v>8.3889972488282699E-2</v>
      </c>
      <c r="I54" s="168">
        <f t="shared" si="34"/>
        <v>8.3889972488282699E-2</v>
      </c>
      <c r="J54" s="168">
        <f t="shared" si="34"/>
        <v>8.3889972488282699E-2</v>
      </c>
      <c r="K54" s="168">
        <f t="shared" si="34"/>
        <v>0.16534116516541278</v>
      </c>
      <c r="L54" s="168">
        <f t="shared" si="34"/>
        <v>0.16534116516541278</v>
      </c>
      <c r="M54" s="168">
        <f t="shared" si="34"/>
        <v>0.16534116516541278</v>
      </c>
      <c r="N54" s="168">
        <f t="shared" si="34"/>
        <v>1.831457255856405E-2</v>
      </c>
    </row>
    <row r="55" spans="1:14" s="96" customFormat="1" ht="15" customHeight="1" x14ac:dyDescent="0.25">
      <c r="A55" s="49" t="s">
        <v>91</v>
      </c>
    </row>
    <row r="56" spans="1:14" s="96" customFormat="1" x14ac:dyDescent="0.25">
      <c r="A56" s="49" t="s">
        <v>93</v>
      </c>
    </row>
    <row r="57" spans="1:14" s="96" customFormat="1" x14ac:dyDescent="0.25">
      <c r="A57" s="49" t="s">
        <v>94</v>
      </c>
    </row>
  </sheetData>
  <mergeCells count="1">
    <mergeCell ref="A1:N1"/>
  </mergeCells>
  <printOptions horizontalCentered="1"/>
  <pageMargins left="0.19" right="1.02" top="0.49" bottom="0.35433070866141703" header="0.13" footer="0.31496062992126"/>
  <pageSetup paperSize="9" scale="60" orientation="landscape"/>
  <headerFooter>
    <oddHeader>&amp;C&amp;"Arial,Bold"&amp;12 OUTDOOR CARE KENYA LIMITED
&amp;14 Profit &amp;&amp; Loss Budget Overview
&amp;10 January through December 2012</oddHeader>
    <oddFooter>&amp;R&amp;"Arial,Bold"&amp;8 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58"/>
  <sheetViews>
    <sheetView tabSelected="1" zoomScale="91" zoomScaleNormal="91" workbookViewId="0">
      <selection activeCell="B7" sqref="B7"/>
    </sheetView>
  </sheetViews>
  <sheetFormatPr defaultColWidth="9.1796875" defaultRowHeight="12.5" x14ac:dyDescent="0.25"/>
  <cols>
    <col min="1" max="1" width="9.1796875" style="100"/>
    <col min="2" max="2" width="45.453125" style="100" customWidth="1"/>
    <col min="3" max="3" width="35.453125" style="100" customWidth="1"/>
    <col min="4" max="4" width="27.81640625" style="100" customWidth="1"/>
    <col min="5" max="5" width="19.453125" style="100" customWidth="1"/>
    <col min="6" max="6" width="19.7265625" style="100" customWidth="1"/>
    <col min="7" max="16384" width="9.1796875" style="100"/>
  </cols>
  <sheetData>
    <row r="1" spans="2:6" s="101" customFormat="1" ht="24.75" customHeight="1" x14ac:dyDescent="0.3">
      <c r="B1" s="615" t="s">
        <v>380</v>
      </c>
      <c r="C1" s="615"/>
      <c r="D1" s="589"/>
      <c r="E1" s="589"/>
      <c r="F1" s="589"/>
    </row>
    <row r="2" spans="2:6" s="101" customFormat="1" ht="24.75" customHeight="1" x14ac:dyDescent="0.3">
      <c r="B2" s="589" t="s">
        <v>376</v>
      </c>
      <c r="C2" s="589"/>
      <c r="D2" s="589"/>
      <c r="E2" s="589"/>
      <c r="F2" s="589"/>
    </row>
    <row r="3" spans="2:6" s="99" customFormat="1" ht="15" customHeight="1" x14ac:dyDescent="0.25">
      <c r="D3" s="550" t="s">
        <v>377</v>
      </c>
      <c r="E3" s="550" t="s">
        <v>377</v>
      </c>
      <c r="F3" s="550" t="s">
        <v>366</v>
      </c>
    </row>
    <row r="4" spans="2:6" ht="15" customHeight="1" x14ac:dyDescent="0.25">
      <c r="B4" s="549" t="s">
        <v>354</v>
      </c>
      <c r="C4" s="549" t="s">
        <v>375</v>
      </c>
      <c r="D4" s="560" t="s">
        <v>364</v>
      </c>
      <c r="E4" s="554" t="s">
        <v>365</v>
      </c>
      <c r="F4" s="550" t="s">
        <v>366</v>
      </c>
    </row>
    <row r="5" spans="2:6" ht="31.5" customHeight="1" x14ac:dyDescent="0.25">
      <c r="B5" s="577" t="s">
        <v>384</v>
      </c>
      <c r="C5" s="54"/>
      <c r="D5" s="564"/>
      <c r="E5" s="566"/>
      <c r="F5" s="574">
        <f>D5-E5</f>
        <v>0</v>
      </c>
    </row>
    <row r="6" spans="2:6" ht="42.5" customHeight="1" x14ac:dyDescent="0.25">
      <c r="B6" s="577" t="s">
        <v>385</v>
      </c>
      <c r="C6" s="54"/>
      <c r="D6" s="565"/>
      <c r="E6" s="565"/>
      <c r="F6" s="576">
        <f>D6-E6</f>
        <v>0</v>
      </c>
    </row>
    <row r="7" spans="2:6" ht="15" customHeight="1" x14ac:dyDescent="0.25">
      <c r="B7" s="54" t="s">
        <v>360</v>
      </c>
      <c r="C7" s="54"/>
      <c r="D7" s="565"/>
      <c r="E7" s="565"/>
      <c r="F7" s="576">
        <f>D7-E7</f>
        <v>0</v>
      </c>
    </row>
    <row r="8" spans="2:6" ht="15" customHeight="1" x14ac:dyDescent="0.25">
      <c r="B8" s="54" t="s">
        <v>361</v>
      </c>
      <c r="C8" s="54"/>
      <c r="D8" s="565"/>
      <c r="E8" s="565"/>
      <c r="F8" s="576">
        <f t="shared" ref="F8:F24" si="0">D8-E8</f>
        <v>0</v>
      </c>
    </row>
    <row r="9" spans="2:6" ht="15" customHeight="1" x14ac:dyDescent="0.25">
      <c r="B9" s="54" t="s">
        <v>362</v>
      </c>
      <c r="C9" s="54"/>
      <c r="D9" s="565"/>
      <c r="E9" s="565"/>
      <c r="F9" s="576">
        <f t="shared" si="0"/>
        <v>0</v>
      </c>
    </row>
    <row r="10" spans="2:6" s="48" customFormat="1" ht="15.75" customHeight="1" x14ac:dyDescent="0.25">
      <c r="B10" s="562"/>
      <c r="C10" s="562"/>
      <c r="D10" s="565"/>
      <c r="E10" s="565"/>
      <c r="F10" s="576">
        <f t="shared" si="0"/>
        <v>0</v>
      </c>
    </row>
    <row r="11" spans="2:6" s="48" customFormat="1" ht="15.75" customHeight="1" x14ac:dyDescent="0.25">
      <c r="B11" s="562"/>
      <c r="C11" s="562"/>
      <c r="D11" s="565"/>
      <c r="E11" s="565"/>
      <c r="F11" s="576">
        <f t="shared" si="0"/>
        <v>0</v>
      </c>
    </row>
    <row r="12" spans="2:6" s="48" customFormat="1" ht="15.75" customHeight="1" x14ac:dyDescent="0.25">
      <c r="B12" s="562"/>
      <c r="C12" s="562"/>
      <c r="D12" s="565"/>
      <c r="E12" s="565"/>
      <c r="F12" s="576">
        <f t="shared" si="0"/>
        <v>0</v>
      </c>
    </row>
    <row r="13" spans="2:6" s="48" customFormat="1" ht="15.75" customHeight="1" x14ac:dyDescent="0.25">
      <c r="B13" s="562"/>
      <c r="C13" s="562"/>
      <c r="D13" s="565"/>
      <c r="E13" s="565"/>
      <c r="F13" s="576">
        <f t="shared" si="0"/>
        <v>0</v>
      </c>
    </row>
    <row r="14" spans="2:6" s="48" customFormat="1" ht="15.75" customHeight="1" x14ac:dyDescent="0.25">
      <c r="B14" s="562"/>
      <c r="C14" s="562"/>
      <c r="D14" s="565"/>
      <c r="E14" s="565"/>
      <c r="F14" s="576">
        <f t="shared" si="0"/>
        <v>0</v>
      </c>
    </row>
    <row r="15" spans="2:6" s="48" customFormat="1" ht="15.75" customHeight="1" x14ac:dyDescent="0.25">
      <c r="B15" s="562"/>
      <c r="C15" s="562"/>
      <c r="D15" s="565"/>
      <c r="E15" s="565"/>
      <c r="F15" s="576">
        <f t="shared" si="0"/>
        <v>0</v>
      </c>
    </row>
    <row r="16" spans="2:6" s="48" customFormat="1" ht="15.75" customHeight="1" x14ac:dyDescent="0.25">
      <c r="B16" s="562"/>
      <c r="C16" s="562"/>
      <c r="D16" s="565"/>
      <c r="E16" s="565"/>
      <c r="F16" s="576">
        <f t="shared" si="0"/>
        <v>0</v>
      </c>
    </row>
    <row r="17" spans="2:6" s="48" customFormat="1" ht="15.75" customHeight="1" x14ac:dyDescent="0.25">
      <c r="B17" s="562"/>
      <c r="C17" s="562"/>
      <c r="D17" s="565"/>
      <c r="E17" s="565"/>
      <c r="F17" s="576">
        <f t="shared" si="0"/>
        <v>0</v>
      </c>
    </row>
    <row r="18" spans="2:6" s="48" customFormat="1" ht="15.75" customHeight="1" x14ac:dyDescent="0.25">
      <c r="B18" s="562"/>
      <c r="C18" s="562"/>
      <c r="D18" s="565"/>
      <c r="E18" s="565"/>
      <c r="F18" s="576">
        <f t="shared" si="0"/>
        <v>0</v>
      </c>
    </row>
    <row r="19" spans="2:6" s="48" customFormat="1" ht="15.75" customHeight="1" x14ac:dyDescent="0.25">
      <c r="B19" s="562"/>
      <c r="C19" s="562"/>
      <c r="D19" s="565"/>
      <c r="E19" s="565"/>
      <c r="F19" s="576">
        <f t="shared" si="0"/>
        <v>0</v>
      </c>
    </row>
    <row r="20" spans="2:6" s="48" customFormat="1" ht="15.75" customHeight="1" x14ac:dyDescent="0.25">
      <c r="B20" s="562"/>
      <c r="C20" s="562"/>
      <c r="D20" s="565"/>
      <c r="E20" s="565"/>
      <c r="F20" s="576">
        <f t="shared" si="0"/>
        <v>0</v>
      </c>
    </row>
    <row r="21" spans="2:6" s="48" customFormat="1" ht="15.75" customHeight="1" x14ac:dyDescent="0.25">
      <c r="B21" s="562"/>
      <c r="C21" s="562"/>
      <c r="D21" s="565"/>
      <c r="E21" s="565"/>
      <c r="F21" s="576">
        <f t="shared" si="0"/>
        <v>0</v>
      </c>
    </row>
    <row r="22" spans="2:6" s="48" customFormat="1" ht="15.75" customHeight="1" x14ac:dyDescent="0.25">
      <c r="B22" s="562"/>
      <c r="C22" s="562"/>
      <c r="D22" s="565"/>
      <c r="E22" s="565"/>
      <c r="F22" s="576">
        <f t="shared" si="0"/>
        <v>0</v>
      </c>
    </row>
    <row r="23" spans="2:6" s="48" customFormat="1" ht="15.75" customHeight="1" x14ac:dyDescent="0.25">
      <c r="B23" s="562"/>
      <c r="C23" s="562"/>
      <c r="D23" s="565"/>
      <c r="E23" s="565"/>
      <c r="F23" s="576">
        <f t="shared" ref="F23" si="1">D23-E23</f>
        <v>0</v>
      </c>
    </row>
    <row r="24" spans="2:6" s="48" customFormat="1" x14ac:dyDescent="0.25">
      <c r="B24" s="580" t="s">
        <v>383</v>
      </c>
      <c r="C24" s="563"/>
      <c r="D24" s="565"/>
      <c r="E24" s="567"/>
      <c r="F24" s="575">
        <f t="shared" si="0"/>
        <v>0</v>
      </c>
    </row>
    <row r="25" spans="2:6" s="96" customFormat="1" ht="15.75" customHeight="1" x14ac:dyDescent="0.25">
      <c r="B25" s="549" t="s">
        <v>355</v>
      </c>
      <c r="C25" s="549"/>
      <c r="D25" s="551">
        <f>SUM(D5:D24)</f>
        <v>0</v>
      </c>
      <c r="E25" s="551">
        <f>SUM(E5:E24)</f>
        <v>0</v>
      </c>
      <c r="F25" s="561">
        <f>SUM(F5:F24)</f>
        <v>0</v>
      </c>
    </row>
    <row r="26" spans="2:6" s="96" customFormat="1" ht="15.75" customHeight="1" x14ac:dyDescent="0.25">
      <c r="B26" s="120"/>
      <c r="C26" s="120"/>
      <c r="D26" s="548"/>
      <c r="E26" s="548"/>
      <c r="F26" s="548"/>
    </row>
    <row r="27" spans="2:6" ht="15" customHeight="1" x14ac:dyDescent="0.25">
      <c r="B27" s="578" t="s">
        <v>353</v>
      </c>
      <c r="C27" s="557" t="s">
        <v>375</v>
      </c>
      <c r="D27" s="570" t="s">
        <v>364</v>
      </c>
      <c r="E27" s="554" t="s">
        <v>365</v>
      </c>
      <c r="F27" s="572" t="s">
        <v>366</v>
      </c>
    </row>
    <row r="28" spans="2:6" s="48" customFormat="1" ht="15.75" customHeight="1" x14ac:dyDescent="0.25">
      <c r="B28" s="577" t="s">
        <v>378</v>
      </c>
      <c r="C28" s="558"/>
      <c r="D28" s="571"/>
      <c r="E28" s="573"/>
      <c r="F28" s="574">
        <f>D28-E28</f>
        <v>0</v>
      </c>
    </row>
    <row r="29" spans="2:6" s="48" customFormat="1" ht="15.75" customHeight="1" x14ac:dyDescent="0.25">
      <c r="B29" s="54" t="s">
        <v>358</v>
      </c>
      <c r="C29" s="558"/>
      <c r="D29" s="571"/>
      <c r="E29" s="571"/>
      <c r="F29" s="576">
        <f t="shared" ref="F29:F40" si="2">D29-E29</f>
        <v>0</v>
      </c>
    </row>
    <row r="30" spans="2:6" s="48" customFormat="1" ht="15.75" customHeight="1" x14ac:dyDescent="0.25">
      <c r="B30" s="54" t="s">
        <v>359</v>
      </c>
      <c r="C30" s="558"/>
      <c r="D30" s="571"/>
      <c r="E30" s="571"/>
      <c r="F30" s="576">
        <f t="shared" si="2"/>
        <v>0</v>
      </c>
    </row>
    <row r="31" spans="2:6" s="48" customFormat="1" ht="15.75" customHeight="1" x14ac:dyDescent="0.25">
      <c r="B31" s="563" t="s">
        <v>363</v>
      </c>
      <c r="C31" s="522"/>
      <c r="D31" s="571"/>
      <c r="E31" s="571"/>
      <c r="F31" s="576">
        <f t="shared" si="2"/>
        <v>0</v>
      </c>
    </row>
    <row r="32" spans="2:6" s="48" customFormat="1" ht="15.75" customHeight="1" x14ac:dyDescent="0.25">
      <c r="B32" s="563"/>
      <c r="C32" s="522"/>
      <c r="D32" s="571"/>
      <c r="E32" s="571"/>
      <c r="F32" s="576">
        <f t="shared" ref="F32:F36" si="3">D32-E32</f>
        <v>0</v>
      </c>
    </row>
    <row r="33" spans="1:6" s="48" customFormat="1" ht="15.75" customHeight="1" x14ac:dyDescent="0.25">
      <c r="B33" s="563"/>
      <c r="C33" s="522"/>
      <c r="D33" s="571"/>
      <c r="E33" s="571"/>
      <c r="F33" s="576">
        <f t="shared" si="3"/>
        <v>0</v>
      </c>
    </row>
    <row r="34" spans="1:6" s="48" customFormat="1" ht="15.75" customHeight="1" x14ac:dyDescent="0.25">
      <c r="B34" s="563"/>
      <c r="C34" s="522"/>
      <c r="D34" s="571"/>
      <c r="E34" s="571"/>
      <c r="F34" s="576">
        <f t="shared" si="3"/>
        <v>0</v>
      </c>
    </row>
    <row r="35" spans="1:6" s="48" customFormat="1" ht="15.75" customHeight="1" x14ac:dyDescent="0.25">
      <c r="B35" s="563"/>
      <c r="C35" s="522"/>
      <c r="D35" s="571"/>
      <c r="E35" s="571"/>
      <c r="F35" s="576">
        <f t="shared" si="3"/>
        <v>0</v>
      </c>
    </row>
    <row r="36" spans="1:6" s="48" customFormat="1" ht="15.75" customHeight="1" x14ac:dyDescent="0.25">
      <c r="B36" s="563"/>
      <c r="C36" s="522"/>
      <c r="D36" s="571"/>
      <c r="E36" s="571"/>
      <c r="F36" s="576">
        <f t="shared" si="3"/>
        <v>0</v>
      </c>
    </row>
    <row r="37" spans="1:6" s="48" customFormat="1" ht="15.75" customHeight="1" x14ac:dyDescent="0.25">
      <c r="B37" s="562"/>
      <c r="C37" s="559"/>
      <c r="D37" s="571"/>
      <c r="E37" s="571"/>
      <c r="F37" s="576">
        <f t="shared" si="2"/>
        <v>0</v>
      </c>
    </row>
    <row r="38" spans="1:6" s="48" customFormat="1" ht="15.75" customHeight="1" x14ac:dyDescent="0.25">
      <c r="B38" s="562"/>
      <c r="C38" s="522"/>
      <c r="D38" s="571"/>
      <c r="E38" s="571"/>
      <c r="F38" s="576">
        <f t="shared" si="2"/>
        <v>0</v>
      </c>
    </row>
    <row r="39" spans="1:6" s="48" customFormat="1" ht="15.75" customHeight="1" x14ac:dyDescent="0.25">
      <c r="B39" s="562"/>
      <c r="C39" s="522"/>
      <c r="D39" s="571"/>
      <c r="E39" s="571"/>
      <c r="F39" s="576">
        <f t="shared" si="2"/>
        <v>0</v>
      </c>
    </row>
    <row r="40" spans="1:6" s="48" customFormat="1" ht="15.75" customHeight="1" x14ac:dyDescent="0.25">
      <c r="B40" s="562"/>
      <c r="C40" s="569"/>
      <c r="D40" s="571"/>
      <c r="E40" s="573"/>
      <c r="F40" s="575">
        <f t="shared" si="2"/>
        <v>0</v>
      </c>
    </row>
    <row r="41" spans="1:6" ht="15" customHeight="1" x14ac:dyDescent="0.25">
      <c r="B41" s="579" t="s">
        <v>357</v>
      </c>
      <c r="C41" s="568"/>
      <c r="D41" s="551">
        <f>SUM(D27:D40)</f>
        <v>0</v>
      </c>
      <c r="E41" s="551">
        <f>SUM(E27:E40)</f>
        <v>0</v>
      </c>
      <c r="F41" s="561">
        <f>SUM(F27:F40)</f>
        <v>0</v>
      </c>
    </row>
    <row r="42" spans="1:6" ht="15" customHeight="1" x14ac:dyDescent="0.25">
      <c r="B42" s="139"/>
      <c r="C42" s="139"/>
      <c r="D42" s="70"/>
      <c r="E42" s="70"/>
      <c r="F42" s="70"/>
    </row>
    <row r="43" spans="1:6" ht="15" customHeight="1" x14ac:dyDescent="0.25">
      <c r="B43" s="549" t="s">
        <v>356</v>
      </c>
      <c r="C43" s="549"/>
      <c r="D43" s="551">
        <f>D41-D25</f>
        <v>0</v>
      </c>
      <c r="E43" s="551">
        <f>E41-E25</f>
        <v>0</v>
      </c>
      <c r="F43" s="561">
        <f>F41-F25</f>
        <v>0</v>
      </c>
    </row>
    <row r="46" spans="1:6" x14ac:dyDescent="0.25">
      <c r="B46" s="552" t="s">
        <v>367</v>
      </c>
      <c r="C46" s="552"/>
    </row>
    <row r="47" spans="1:6" x14ac:dyDescent="0.25">
      <c r="A47" s="100">
        <v>1</v>
      </c>
      <c r="B47" s="96" t="s">
        <v>369</v>
      </c>
      <c r="C47" s="96"/>
      <c r="E47" s="555" t="s">
        <v>379</v>
      </c>
      <c r="F47" s="100" t="s">
        <v>374</v>
      </c>
    </row>
    <row r="48" spans="1:6" x14ac:dyDescent="0.25">
      <c r="B48" s="96"/>
      <c r="C48" s="96"/>
    </row>
    <row r="49" spans="1:6" x14ac:dyDescent="0.25">
      <c r="A49" s="100">
        <v>2</v>
      </c>
      <c r="B49" s="96" t="s">
        <v>370</v>
      </c>
      <c r="C49" s="96"/>
      <c r="E49" s="555" t="s">
        <v>379</v>
      </c>
      <c r="F49" s="100" t="s">
        <v>374</v>
      </c>
    </row>
    <row r="50" spans="1:6" x14ac:dyDescent="0.25">
      <c r="B50" s="96"/>
      <c r="C50" s="96"/>
    </row>
    <row r="51" spans="1:6" x14ac:dyDescent="0.25">
      <c r="A51" s="100">
        <v>3</v>
      </c>
      <c r="B51" s="96" t="s">
        <v>368</v>
      </c>
      <c r="C51" s="96"/>
      <c r="E51" s="555" t="s">
        <v>379</v>
      </c>
      <c r="F51" s="100" t="s">
        <v>374</v>
      </c>
    </row>
    <row r="52" spans="1:6" x14ac:dyDescent="0.25">
      <c r="E52" s="96"/>
    </row>
    <row r="53" spans="1:6" x14ac:dyDescent="0.25">
      <c r="B53" s="556" t="s">
        <v>371</v>
      </c>
      <c r="C53" s="553"/>
      <c r="D53" s="96"/>
      <c r="E53" s="96"/>
    </row>
    <row r="54" spans="1:6" x14ac:dyDescent="0.25">
      <c r="B54" s="553" t="s">
        <v>372</v>
      </c>
      <c r="C54" s="553"/>
      <c r="D54" s="96"/>
      <c r="E54" s="96"/>
    </row>
    <row r="55" spans="1:6" x14ac:dyDescent="0.25">
      <c r="B55" s="553" t="s">
        <v>373</v>
      </c>
      <c r="C55" s="553"/>
    </row>
    <row r="56" spans="1:6" x14ac:dyDescent="0.25">
      <c r="B56" s="553" t="s">
        <v>381</v>
      </c>
    </row>
    <row r="57" spans="1:6" x14ac:dyDescent="0.25">
      <c r="B57" s="553" t="s">
        <v>382</v>
      </c>
    </row>
    <row r="58" spans="1:6" x14ac:dyDescent="0.25">
      <c r="B58" s="553"/>
    </row>
  </sheetData>
  <mergeCells count="2">
    <mergeCell ref="B1:F1"/>
    <mergeCell ref="B2:F2"/>
  </mergeCells>
  <phoneticPr fontId="132" type="noConversion"/>
  <pageMargins left="0.7" right="0.7" top="0.75" bottom="0.75" header="0.3" footer="0.3"/>
  <pageSetup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83"/>
  <sheetViews>
    <sheetView showGridLines="0" zoomScale="91" workbookViewId="0">
      <pane xSplit="1" ySplit="2" topLeftCell="B3" activePane="bottomRight" state="frozen"/>
      <selection pane="topRight"/>
      <selection pane="bottomLeft"/>
      <selection pane="bottomRight" activeCell="A18" sqref="A18"/>
    </sheetView>
  </sheetViews>
  <sheetFormatPr defaultColWidth="9.1796875" defaultRowHeight="12.5" x14ac:dyDescent="0.25"/>
  <cols>
    <col min="1" max="1" width="38.81640625" style="47" customWidth="1"/>
    <col min="2" max="13" width="12.1796875" style="48" customWidth="1"/>
    <col min="14" max="14" width="12.1796875" style="49" customWidth="1"/>
    <col min="15" max="15" width="13.7265625" style="48" bestFit="1" customWidth="1"/>
    <col min="16" max="16384" width="9.1796875" style="48"/>
  </cols>
  <sheetData>
    <row r="1" spans="1:15" ht="15.75" customHeight="1" x14ac:dyDescent="0.3">
      <c r="A1" s="50"/>
      <c r="B1" s="587" t="s">
        <v>86</v>
      </c>
      <c r="C1" s="587"/>
      <c r="D1" s="587"/>
      <c r="E1" s="587"/>
      <c r="F1" s="587"/>
      <c r="G1" s="587"/>
      <c r="H1" s="587"/>
      <c r="I1" s="587"/>
      <c r="J1" s="587"/>
      <c r="K1" s="587"/>
      <c r="L1" s="587"/>
      <c r="M1" s="587"/>
      <c r="N1" s="587"/>
    </row>
    <row r="2" spans="1:15" ht="15" x14ac:dyDescent="0.3">
      <c r="A2" s="51" t="s">
        <v>111</v>
      </c>
      <c r="B2" s="52" t="s">
        <v>118</v>
      </c>
      <c r="C2" s="52" t="s">
        <v>119</v>
      </c>
      <c r="D2" s="52" t="s">
        <v>120</v>
      </c>
      <c r="E2" s="52" t="s">
        <v>121</v>
      </c>
      <c r="F2" s="52" t="s">
        <v>117</v>
      </c>
      <c r="G2" s="52" t="s">
        <v>122</v>
      </c>
      <c r="H2" s="52" t="s">
        <v>123</v>
      </c>
      <c r="I2" s="52" t="s">
        <v>124</v>
      </c>
      <c r="J2" s="52" t="s">
        <v>125</v>
      </c>
      <c r="K2" s="52" t="s">
        <v>126</v>
      </c>
      <c r="L2" s="52" t="s">
        <v>127</v>
      </c>
      <c r="M2" s="52" t="s">
        <v>128</v>
      </c>
      <c r="N2" s="53" t="s">
        <v>0</v>
      </c>
    </row>
    <row r="3" spans="1:15" x14ac:dyDescent="0.25">
      <c r="A3" s="54" t="s">
        <v>104</v>
      </c>
      <c r="B3" s="55"/>
      <c r="C3" s="55"/>
      <c r="D3" s="55"/>
      <c r="E3" s="55"/>
      <c r="F3" s="55"/>
      <c r="G3" s="55"/>
      <c r="H3" s="55"/>
      <c r="I3" s="55"/>
      <c r="J3" s="55"/>
      <c r="K3" s="55"/>
      <c r="L3" s="55"/>
      <c r="M3" s="55"/>
      <c r="N3" s="56"/>
    </row>
    <row r="4" spans="1:15" x14ac:dyDescent="0.25">
      <c r="A4" s="57" t="s">
        <v>6</v>
      </c>
      <c r="B4" s="58"/>
      <c r="C4" s="58"/>
      <c r="D4" s="58"/>
      <c r="E4" s="58"/>
      <c r="F4" s="58"/>
      <c r="G4" s="58"/>
      <c r="H4" s="58"/>
      <c r="I4" s="58"/>
      <c r="J4" s="58"/>
      <c r="K4" s="58"/>
      <c r="L4" s="58"/>
      <c r="M4" s="58"/>
      <c r="N4" s="56"/>
    </row>
    <row r="5" spans="1:15" x14ac:dyDescent="0.25">
      <c r="A5" s="59" t="s">
        <v>7</v>
      </c>
      <c r="B5" s="60">
        <v>796784.76923076937</v>
      </c>
      <c r="C5" s="60">
        <v>796784.76923076937</v>
      </c>
      <c r="D5" s="60">
        <v>796784.76923076937</v>
      </c>
      <c r="E5" s="60">
        <v>954421.23076923098</v>
      </c>
      <c r="F5" s="60">
        <v>954421.23076923098</v>
      </c>
      <c r="G5" s="60">
        <v>954421.23076923098</v>
      </c>
      <c r="H5" s="60">
        <v>1288510.923076923</v>
      </c>
      <c r="I5" s="60">
        <v>1288510.923076923</v>
      </c>
      <c r="J5" s="60">
        <v>1288510.923076923</v>
      </c>
      <c r="K5" s="60">
        <v>960283.07692307699</v>
      </c>
      <c r="L5" s="60">
        <v>960283.07692307699</v>
      </c>
      <c r="M5" s="60">
        <v>960283.07692307699</v>
      </c>
      <c r="N5" s="56">
        <f>SUM(B5:M5)</f>
        <v>12000000</v>
      </c>
    </row>
    <row r="6" spans="1:15" ht="25" x14ac:dyDescent="0.25">
      <c r="A6" s="59" t="s">
        <v>85</v>
      </c>
      <c r="B6" s="60">
        <v>1569183.6666666667</v>
      </c>
      <c r="C6" s="60">
        <v>1569183.6666666667</v>
      </c>
      <c r="D6" s="60">
        <v>1569183.6666666667</v>
      </c>
      <c r="E6" s="60">
        <v>1659759.3333333333</v>
      </c>
      <c r="F6" s="60">
        <v>1659759.3333333333</v>
      </c>
      <c r="G6" s="60">
        <v>1659759.3333333333</v>
      </c>
      <c r="H6" s="60">
        <v>2656261.3333333335</v>
      </c>
      <c r="I6" s="60">
        <v>2656261.3333333335</v>
      </c>
      <c r="J6" s="60">
        <v>2656261.3333333335</v>
      </c>
      <c r="K6" s="60">
        <v>2948129</v>
      </c>
      <c r="L6" s="60">
        <v>2948129</v>
      </c>
      <c r="M6" s="60">
        <v>2948129</v>
      </c>
      <c r="N6" s="56">
        <f>SUM(B6:M6)</f>
        <v>26500000</v>
      </c>
    </row>
    <row r="7" spans="1:15" x14ac:dyDescent="0.25">
      <c r="A7" s="59" t="s">
        <v>8</v>
      </c>
      <c r="B7" s="60">
        <v>2335682.2222222225</v>
      </c>
      <c r="C7" s="60">
        <v>2335682.2222222225</v>
      </c>
      <c r="D7" s="60">
        <v>2335682.2222222225</v>
      </c>
      <c r="E7" s="60">
        <v>2470501.4814814813</v>
      </c>
      <c r="F7" s="60">
        <v>2470501.4814814813</v>
      </c>
      <c r="G7" s="60">
        <v>2470501.4814814813</v>
      </c>
      <c r="H7" s="60">
        <v>4079690.0000000005</v>
      </c>
      <c r="I7" s="60">
        <v>4079690.0000000005</v>
      </c>
      <c r="J7" s="60">
        <v>4079690.0000000005</v>
      </c>
      <c r="K7" s="60">
        <v>4447459.6296296297</v>
      </c>
      <c r="L7" s="60">
        <v>4447459.6296296297</v>
      </c>
      <c r="M7" s="60">
        <v>4447459.6296296297</v>
      </c>
      <c r="N7" s="56">
        <f t="shared" ref="N7:N60" si="0">SUM(B7:M7)</f>
        <v>40000000</v>
      </c>
      <c r="O7" s="61"/>
    </row>
    <row r="8" spans="1:15" ht="25" x14ac:dyDescent="0.25">
      <c r="A8" s="62" t="s">
        <v>99</v>
      </c>
      <c r="B8" s="60"/>
      <c r="C8" s="60"/>
      <c r="D8" s="60"/>
      <c r="E8" s="60"/>
      <c r="F8" s="60"/>
      <c r="G8" s="60"/>
      <c r="H8" s="60"/>
      <c r="I8" s="60"/>
      <c r="J8" s="60"/>
      <c r="K8" s="60"/>
      <c r="L8" s="60"/>
      <c r="M8" s="60"/>
      <c r="N8" s="56"/>
    </row>
    <row r="9" spans="1:15" x14ac:dyDescent="0.25">
      <c r="A9" s="59" t="s">
        <v>98</v>
      </c>
      <c r="B9" s="55">
        <v>3066304.905253496</v>
      </c>
      <c r="C9" s="55">
        <v>5820623.0269535221</v>
      </c>
      <c r="D9" s="55">
        <v>4705896.8208963173</v>
      </c>
      <c r="E9" s="55">
        <v>4404815.363697811</v>
      </c>
      <c r="F9" s="55">
        <v>3587873.0294022965</v>
      </c>
      <c r="G9" s="55">
        <v>5761698.0492152441</v>
      </c>
      <c r="H9" s="55">
        <v>4795885.2534212936</v>
      </c>
      <c r="I9" s="55">
        <v>7392088.4786180872</v>
      </c>
      <c r="J9" s="55">
        <v>9398992.4625954516</v>
      </c>
      <c r="K9" s="55">
        <v>5564591.605080788</v>
      </c>
      <c r="L9" s="55">
        <v>4765352.8508513812</v>
      </c>
      <c r="M9" s="55">
        <v>6735878.1540143192</v>
      </c>
      <c r="N9" s="56">
        <f t="shared" si="0"/>
        <v>66000000</v>
      </c>
      <c r="O9" s="63"/>
    </row>
    <row r="10" spans="1:15" ht="21.75" customHeight="1" x14ac:dyDescent="0.25">
      <c r="A10" s="59" t="s">
        <v>97</v>
      </c>
      <c r="B10" s="58">
        <v>1115019.9655467256</v>
      </c>
      <c r="C10" s="58">
        <v>2116590.1916194628</v>
      </c>
      <c r="D10" s="58">
        <v>1711235.2075986608</v>
      </c>
      <c r="E10" s="58">
        <v>1601751.0413446587</v>
      </c>
      <c r="F10" s="58">
        <v>1304681.1016008351</v>
      </c>
      <c r="G10" s="58">
        <v>2095162.9269873623</v>
      </c>
      <c r="H10" s="58">
        <v>1743958.2739713795</v>
      </c>
      <c r="I10" s="58">
        <v>2688032.1740429401</v>
      </c>
      <c r="J10" s="58">
        <v>3417815.4409438013</v>
      </c>
      <c r="K10" s="58">
        <v>2023487.8563930136</v>
      </c>
      <c r="L10" s="58">
        <v>1732855.5821277753</v>
      </c>
      <c r="M10" s="58">
        <v>2449410.2378233885</v>
      </c>
      <c r="N10" s="56">
        <f t="shared" si="0"/>
        <v>24000000.000000004</v>
      </c>
      <c r="O10" s="63"/>
    </row>
    <row r="11" spans="1:15" ht="15.75" customHeight="1" x14ac:dyDescent="0.25">
      <c r="A11" s="62" t="s">
        <v>9</v>
      </c>
      <c r="B11" s="60"/>
      <c r="C11" s="60"/>
      <c r="D11" s="60"/>
      <c r="E11" s="60"/>
      <c r="F11" s="60"/>
      <c r="G11" s="60"/>
      <c r="H11" s="60"/>
      <c r="I11" s="60"/>
      <c r="J11" s="60"/>
      <c r="K11" s="60"/>
      <c r="L11" s="60"/>
      <c r="M11" s="60"/>
      <c r="N11" s="56"/>
      <c r="O11" s="63"/>
    </row>
    <row r="12" spans="1:15" ht="23.25" customHeight="1" x14ac:dyDescent="0.25">
      <c r="A12" s="59" t="s">
        <v>9</v>
      </c>
      <c r="B12" s="60">
        <v>2336311.2353141145</v>
      </c>
      <c r="C12" s="60">
        <v>2232413.0938060479</v>
      </c>
      <c r="D12" s="60">
        <v>2503326.9713213695</v>
      </c>
      <c r="E12" s="60">
        <v>3050008.9992678799</v>
      </c>
      <c r="F12" s="60">
        <v>2962170.6148153255</v>
      </c>
      <c r="G12" s="60">
        <v>5721907.0105804903</v>
      </c>
      <c r="H12" s="60">
        <v>4985287.6889124885</v>
      </c>
      <c r="I12" s="60">
        <v>6119320.2513778545</v>
      </c>
      <c r="J12" s="60">
        <v>4820186.4711747356</v>
      </c>
      <c r="K12" s="60">
        <v>4316816.8993822429</v>
      </c>
      <c r="L12" s="60">
        <v>5775878.1284897411</v>
      </c>
      <c r="M12" s="60">
        <v>5176372.6355577083</v>
      </c>
      <c r="N12" s="56">
        <f t="shared" si="0"/>
        <v>50000000</v>
      </c>
      <c r="O12" s="63"/>
    </row>
    <row r="13" spans="1:15" x14ac:dyDescent="0.25">
      <c r="A13" s="59" t="s">
        <v>10</v>
      </c>
      <c r="B13" s="60">
        <v>800000</v>
      </c>
      <c r="C13" s="60">
        <v>800000</v>
      </c>
      <c r="D13" s="60">
        <v>800000</v>
      </c>
      <c r="E13" s="60">
        <v>800000</v>
      </c>
      <c r="F13" s="60">
        <v>800000</v>
      </c>
      <c r="G13" s="60">
        <v>800000</v>
      </c>
      <c r="H13" s="60">
        <v>800000</v>
      </c>
      <c r="I13" s="60">
        <v>800000</v>
      </c>
      <c r="J13" s="60">
        <v>800000</v>
      </c>
      <c r="K13" s="60">
        <v>800000</v>
      </c>
      <c r="L13" s="60">
        <v>800000</v>
      </c>
      <c r="M13" s="60">
        <v>800000</v>
      </c>
      <c r="N13" s="56">
        <f t="shared" si="0"/>
        <v>9600000</v>
      </c>
      <c r="O13" s="63"/>
    </row>
    <row r="14" spans="1:15" ht="15.75" customHeight="1" x14ac:dyDescent="0.25">
      <c r="A14" s="54" t="s">
        <v>102</v>
      </c>
      <c r="B14" s="64">
        <f t="shared" ref="B14:N14" si="1">SUM(B5:B13)</f>
        <v>12019286.764233993</v>
      </c>
      <c r="C14" s="64">
        <f t="shared" si="1"/>
        <v>15671276.970498692</v>
      </c>
      <c r="D14" s="64">
        <f t="shared" si="1"/>
        <v>14422109.657936007</v>
      </c>
      <c r="E14" s="64">
        <f t="shared" si="1"/>
        <v>14941257.449894397</v>
      </c>
      <c r="F14" s="64">
        <f t="shared" si="1"/>
        <v>13739406.791402504</v>
      </c>
      <c r="G14" s="64">
        <f t="shared" si="1"/>
        <v>19463450.032367144</v>
      </c>
      <c r="H14" s="64">
        <f t="shared" si="1"/>
        <v>20349593.472715419</v>
      </c>
      <c r="I14" s="64">
        <f t="shared" si="1"/>
        <v>25023903.16044914</v>
      </c>
      <c r="J14" s="64">
        <f t="shared" si="1"/>
        <v>26461456.631124243</v>
      </c>
      <c r="K14" s="64">
        <f t="shared" si="1"/>
        <v>21060768.067408748</v>
      </c>
      <c r="L14" s="64">
        <f t="shared" si="1"/>
        <v>21429958.268021606</v>
      </c>
      <c r="M14" s="64">
        <f t="shared" si="1"/>
        <v>23517532.733948123</v>
      </c>
      <c r="N14" s="65">
        <f t="shared" si="1"/>
        <v>228100000</v>
      </c>
    </row>
    <row r="15" spans="1:15" x14ac:dyDescent="0.25">
      <c r="A15" s="62" t="s">
        <v>43</v>
      </c>
      <c r="B15" s="60"/>
      <c r="C15" s="60"/>
      <c r="D15" s="60"/>
      <c r="E15" s="60"/>
      <c r="F15" s="60"/>
      <c r="G15" s="60"/>
      <c r="H15" s="60"/>
      <c r="I15" s="60"/>
      <c r="J15" s="60"/>
      <c r="K15" s="60"/>
      <c r="L15" s="60"/>
      <c r="M15" s="60"/>
      <c r="N15" s="56"/>
    </row>
    <row r="16" spans="1:15" ht="19.5" customHeight="1" x14ac:dyDescent="0.25">
      <c r="A16" s="66" t="s">
        <v>48</v>
      </c>
      <c r="B16" s="60">
        <f>0.7*B5</f>
        <v>557749.33846153854</v>
      </c>
      <c r="C16" s="60">
        <f t="shared" ref="C16:M16" si="2">0.7*C5</f>
        <v>557749.33846153854</v>
      </c>
      <c r="D16" s="60">
        <f t="shared" si="2"/>
        <v>557749.33846153854</v>
      </c>
      <c r="E16" s="60">
        <f t="shared" si="2"/>
        <v>668094.86153846164</v>
      </c>
      <c r="F16" s="60">
        <f t="shared" si="2"/>
        <v>668094.86153846164</v>
      </c>
      <c r="G16" s="60">
        <f t="shared" si="2"/>
        <v>668094.86153846164</v>
      </c>
      <c r="H16" s="60">
        <f t="shared" si="2"/>
        <v>901957.64615384606</v>
      </c>
      <c r="I16" s="60">
        <f t="shared" si="2"/>
        <v>901957.64615384606</v>
      </c>
      <c r="J16" s="60">
        <f t="shared" si="2"/>
        <v>901957.64615384606</v>
      </c>
      <c r="K16" s="60">
        <f t="shared" si="2"/>
        <v>672198.15384615387</v>
      </c>
      <c r="L16" s="60">
        <f t="shared" si="2"/>
        <v>672198.15384615387</v>
      </c>
      <c r="M16" s="60">
        <f t="shared" si="2"/>
        <v>672198.15384615387</v>
      </c>
      <c r="N16" s="56">
        <f t="shared" si="0"/>
        <v>8400000</v>
      </c>
    </row>
    <row r="17" spans="1:16" ht="25.5" customHeight="1" x14ac:dyDescent="0.25">
      <c r="A17" s="66" t="s">
        <v>49</v>
      </c>
      <c r="B17" s="60">
        <f>0.12*B6</f>
        <v>188302.04</v>
      </c>
      <c r="C17" s="60">
        <f t="shared" ref="C17:L17" si="3">0.12*C6</f>
        <v>188302.04</v>
      </c>
      <c r="D17" s="60">
        <f t="shared" si="3"/>
        <v>188302.04</v>
      </c>
      <c r="E17" s="60">
        <f t="shared" si="3"/>
        <v>199171.12</v>
      </c>
      <c r="F17" s="60">
        <f t="shared" si="3"/>
        <v>199171.12</v>
      </c>
      <c r="G17" s="60">
        <f t="shared" si="3"/>
        <v>199171.12</v>
      </c>
      <c r="H17" s="60">
        <f t="shared" si="3"/>
        <v>318751.35999999999</v>
      </c>
      <c r="I17" s="60">
        <f t="shared" si="3"/>
        <v>318751.35999999999</v>
      </c>
      <c r="J17" s="60">
        <f t="shared" si="3"/>
        <v>318751.35999999999</v>
      </c>
      <c r="K17" s="60">
        <f t="shared" si="3"/>
        <v>353775.48</v>
      </c>
      <c r="L17" s="60">
        <f t="shared" si="3"/>
        <v>353775.48</v>
      </c>
      <c r="M17" s="60">
        <f>0.12*M6</f>
        <v>353775.48</v>
      </c>
      <c r="N17" s="56">
        <f t="shared" si="0"/>
        <v>3179999.9999999995</v>
      </c>
    </row>
    <row r="18" spans="1:16" ht="25.5" customHeight="1" x14ac:dyDescent="0.25">
      <c r="A18" s="66" t="s">
        <v>50</v>
      </c>
      <c r="B18" s="60">
        <f>0.8*B7</f>
        <v>1868545.777777778</v>
      </c>
      <c r="C18" s="60">
        <f t="shared" ref="C18:M18" si="4">0.8*C7</f>
        <v>1868545.777777778</v>
      </c>
      <c r="D18" s="60">
        <f t="shared" si="4"/>
        <v>1868545.777777778</v>
      </c>
      <c r="E18" s="60">
        <f t="shared" si="4"/>
        <v>1976401.1851851852</v>
      </c>
      <c r="F18" s="60">
        <f t="shared" si="4"/>
        <v>1976401.1851851852</v>
      </c>
      <c r="G18" s="60">
        <f t="shared" si="4"/>
        <v>1976401.1851851852</v>
      </c>
      <c r="H18" s="60">
        <f t="shared" si="4"/>
        <v>3263752.0000000005</v>
      </c>
      <c r="I18" s="60">
        <f t="shared" si="4"/>
        <v>3263752.0000000005</v>
      </c>
      <c r="J18" s="60">
        <f t="shared" si="4"/>
        <v>3263752.0000000005</v>
      </c>
      <c r="K18" s="60">
        <f t="shared" si="4"/>
        <v>3557967.7037037038</v>
      </c>
      <c r="L18" s="60">
        <f t="shared" si="4"/>
        <v>3557967.7037037038</v>
      </c>
      <c r="M18" s="60">
        <f t="shared" si="4"/>
        <v>3557967.7037037038</v>
      </c>
      <c r="N18" s="56">
        <f>SUM(B18:M18)</f>
        <v>32000000.000000004</v>
      </c>
    </row>
    <row r="19" spans="1:16" x14ac:dyDescent="0.25">
      <c r="A19" s="66" t="s">
        <v>129</v>
      </c>
      <c r="B19" s="60">
        <f>0.4*(B9+B10)</f>
        <v>1672529.9483200887</v>
      </c>
      <c r="C19" s="60">
        <f t="shared" ref="C19:M19" si="5">0.4*(C9+C10)</f>
        <v>3174885.2874291944</v>
      </c>
      <c r="D19" s="60">
        <f t="shared" si="5"/>
        <v>2566852.8113979916</v>
      </c>
      <c r="E19" s="60">
        <f t="shared" si="5"/>
        <v>2402626.5620169877</v>
      </c>
      <c r="F19" s="60">
        <f t="shared" si="5"/>
        <v>1957021.6524012529</v>
      </c>
      <c r="G19" s="60">
        <f t="shared" si="5"/>
        <v>3142744.3904810427</v>
      </c>
      <c r="H19" s="60">
        <f t="shared" si="5"/>
        <v>2615937.4109570696</v>
      </c>
      <c r="I19" s="60">
        <f t="shared" si="5"/>
        <v>4032048.2610644111</v>
      </c>
      <c r="J19" s="60">
        <f t="shared" si="5"/>
        <v>5126723.1614157017</v>
      </c>
      <c r="K19" s="60">
        <f t="shared" si="5"/>
        <v>3035231.7845895211</v>
      </c>
      <c r="L19" s="60">
        <f t="shared" si="5"/>
        <v>2599283.3731916626</v>
      </c>
      <c r="M19" s="60">
        <f t="shared" si="5"/>
        <v>3674115.3567350837</v>
      </c>
      <c r="N19" s="56">
        <f t="shared" si="0"/>
        <v>36000000</v>
      </c>
    </row>
    <row r="20" spans="1:16" ht="17.25" customHeight="1" x14ac:dyDescent="0.25">
      <c r="A20" s="66" t="s">
        <v>51</v>
      </c>
      <c r="B20" s="60">
        <f>0.4*B12</f>
        <v>934524.49412564584</v>
      </c>
      <c r="C20" s="60">
        <f t="shared" ref="C20:M20" si="6">0.4*C12</f>
        <v>892965.23752241919</v>
      </c>
      <c r="D20" s="60">
        <f t="shared" si="6"/>
        <v>1001330.7885285479</v>
      </c>
      <c r="E20" s="60">
        <f t="shared" si="6"/>
        <v>1220003.599707152</v>
      </c>
      <c r="F20" s="60">
        <f t="shared" si="6"/>
        <v>1184868.2459261303</v>
      </c>
      <c r="G20" s="60">
        <f t="shared" si="6"/>
        <v>2288762.8042321964</v>
      </c>
      <c r="H20" s="60">
        <f t="shared" si="6"/>
        <v>1994115.0755649954</v>
      </c>
      <c r="I20" s="60">
        <f t="shared" si="6"/>
        <v>2447728.1005511419</v>
      </c>
      <c r="J20" s="60">
        <f t="shared" si="6"/>
        <v>1928074.5884698944</v>
      </c>
      <c r="K20" s="60">
        <f t="shared" si="6"/>
        <v>1726726.7597528973</v>
      </c>
      <c r="L20" s="60">
        <f t="shared" si="6"/>
        <v>2310351.2513958965</v>
      </c>
      <c r="M20" s="60">
        <f t="shared" si="6"/>
        <v>2070549.0542230834</v>
      </c>
      <c r="N20" s="56">
        <f t="shared" si="0"/>
        <v>20000000</v>
      </c>
    </row>
    <row r="21" spans="1:16" ht="17.25" customHeight="1" x14ac:dyDescent="0.25">
      <c r="A21" s="66" t="s">
        <v>88</v>
      </c>
      <c r="B21" s="60">
        <v>360000</v>
      </c>
      <c r="C21" s="60">
        <f>+B21</f>
        <v>360000</v>
      </c>
      <c r="D21" s="60">
        <f t="shared" ref="D21:M21" si="7">+C21</f>
        <v>360000</v>
      </c>
      <c r="E21" s="60">
        <f t="shared" si="7"/>
        <v>360000</v>
      </c>
      <c r="F21" s="60">
        <f t="shared" si="7"/>
        <v>360000</v>
      </c>
      <c r="G21" s="60">
        <f t="shared" si="7"/>
        <v>360000</v>
      </c>
      <c r="H21" s="60">
        <f t="shared" si="7"/>
        <v>360000</v>
      </c>
      <c r="I21" s="60">
        <f t="shared" si="7"/>
        <v>360000</v>
      </c>
      <c r="J21" s="60">
        <f t="shared" si="7"/>
        <v>360000</v>
      </c>
      <c r="K21" s="60">
        <f t="shared" si="7"/>
        <v>360000</v>
      </c>
      <c r="L21" s="60">
        <f t="shared" si="7"/>
        <v>360000</v>
      </c>
      <c r="M21" s="60">
        <f t="shared" si="7"/>
        <v>360000</v>
      </c>
      <c r="N21" s="56">
        <f t="shared" si="0"/>
        <v>4320000</v>
      </c>
    </row>
    <row r="22" spans="1:16" ht="17.25" customHeight="1" x14ac:dyDescent="0.25">
      <c r="A22" s="54" t="s">
        <v>44</v>
      </c>
      <c r="B22" s="64">
        <f>SUM(B16:B21)</f>
        <v>5581651.5986850513</v>
      </c>
      <c r="C22" s="64">
        <f>SUM(C16:C21)</f>
        <v>7042447.6811909303</v>
      </c>
      <c r="D22" s="64">
        <f>SUM(D16:D21)</f>
        <v>6542780.7561658556</v>
      </c>
      <c r="E22" s="64">
        <f>SUM(E16:E21)</f>
        <v>6826297.3284477862</v>
      </c>
      <c r="F22" s="64">
        <f t="shared" ref="F22:M22" si="8">SUM(F16:F21)</f>
        <v>6345557.0650510304</v>
      </c>
      <c r="G22" s="64">
        <f t="shared" si="8"/>
        <v>8635174.3614368867</v>
      </c>
      <c r="H22" s="64">
        <f t="shared" si="8"/>
        <v>9454513.4926759116</v>
      </c>
      <c r="I22" s="64">
        <f t="shared" si="8"/>
        <v>11324237.3677694</v>
      </c>
      <c r="J22" s="64">
        <f t="shared" si="8"/>
        <v>11899258.756039442</v>
      </c>
      <c r="K22" s="64">
        <f t="shared" si="8"/>
        <v>9705899.8818922769</v>
      </c>
      <c r="L22" s="64">
        <f t="shared" si="8"/>
        <v>9853575.962137416</v>
      </c>
      <c r="M22" s="64">
        <f t="shared" si="8"/>
        <v>10688605.748508025</v>
      </c>
      <c r="N22" s="65">
        <f>SUM(N16:N21)</f>
        <v>103900000</v>
      </c>
      <c r="O22" s="67"/>
      <c r="P22" s="67"/>
    </row>
    <row r="23" spans="1:16" ht="17.25" customHeight="1" x14ac:dyDescent="0.25">
      <c r="A23" s="68"/>
      <c r="B23" s="60"/>
      <c r="C23" s="60"/>
      <c r="D23" s="60"/>
      <c r="E23" s="60"/>
      <c r="F23" s="60"/>
      <c r="G23" s="60"/>
      <c r="H23" s="60"/>
      <c r="I23" s="60"/>
      <c r="J23" s="60"/>
      <c r="K23" s="60"/>
      <c r="L23" s="60"/>
      <c r="M23" s="60"/>
      <c r="N23" s="56"/>
      <c r="O23" s="69"/>
      <c r="P23" s="69"/>
    </row>
    <row r="24" spans="1:16" s="67" customFormat="1" ht="17.25" customHeight="1" x14ac:dyDescent="0.25">
      <c r="A24" s="54" t="s">
        <v>41</v>
      </c>
      <c r="B24" s="70">
        <f>B14-B22</f>
        <v>6437635.1655489421</v>
      </c>
      <c r="C24" s="70">
        <f>C14-C22</f>
        <v>8628829.2893077619</v>
      </c>
      <c r="D24" s="70">
        <f>D14-D22</f>
        <v>7879328.9017701512</v>
      </c>
      <c r="E24" s="70">
        <f>E14-E22</f>
        <v>8114960.1214466104</v>
      </c>
      <c r="F24" s="70">
        <f t="shared" ref="F24:M24" si="9">F14-F22</f>
        <v>7393849.7263514735</v>
      </c>
      <c r="G24" s="70">
        <f t="shared" si="9"/>
        <v>10828275.670930257</v>
      </c>
      <c r="H24" s="70">
        <f t="shared" si="9"/>
        <v>10895079.980039507</v>
      </c>
      <c r="I24" s="70">
        <f t="shared" si="9"/>
        <v>13699665.79267974</v>
      </c>
      <c r="J24" s="70">
        <f t="shared" si="9"/>
        <v>14562197.875084801</v>
      </c>
      <c r="K24" s="70">
        <f t="shared" si="9"/>
        <v>11354868.185516471</v>
      </c>
      <c r="L24" s="70">
        <f t="shared" si="9"/>
        <v>11576382.30588419</v>
      </c>
      <c r="M24" s="70">
        <f t="shared" si="9"/>
        <v>12828926.985440098</v>
      </c>
      <c r="N24" s="56">
        <f>N14-N22</f>
        <v>124200000</v>
      </c>
    </row>
    <row r="25" spans="1:16" s="69" customFormat="1" ht="17.25" customHeight="1" x14ac:dyDescent="0.35">
      <c r="A25" s="71" t="s">
        <v>105</v>
      </c>
      <c r="B25" s="72">
        <f>B24/B14</f>
        <v>0.53560875048805123</v>
      </c>
      <c r="C25" s="72">
        <f>C24/C14</f>
        <v>0.55061430574876602</v>
      </c>
      <c r="D25" s="72">
        <f>D24/D14</f>
        <v>0.54633677656405966</v>
      </c>
      <c r="E25" s="72">
        <f>E24/E14</f>
        <v>0.54312430855703953</v>
      </c>
      <c r="F25" s="72">
        <f t="shared" ref="F25:M25" si="10">F24/F14</f>
        <v>0.53814912380192492</v>
      </c>
      <c r="G25" s="72">
        <f t="shared" si="10"/>
        <v>0.55633896626359425</v>
      </c>
      <c r="H25" s="72">
        <f t="shared" si="10"/>
        <v>0.53539546107628877</v>
      </c>
      <c r="I25" s="72">
        <f t="shared" si="10"/>
        <v>0.547463187690575</v>
      </c>
      <c r="J25" s="72">
        <f t="shared" si="10"/>
        <v>0.55031731918932203</v>
      </c>
      <c r="K25" s="72">
        <f t="shared" si="10"/>
        <v>0.53914786721800401</v>
      </c>
      <c r="L25" s="72">
        <f t="shared" si="10"/>
        <v>0.54019621322169331</v>
      </c>
      <c r="M25" s="72">
        <f t="shared" si="10"/>
        <v>0.54550479978374744</v>
      </c>
      <c r="N25" s="73">
        <f>N24/N14</f>
        <v>0.54449802718106088</v>
      </c>
      <c r="O25" s="74"/>
      <c r="P25" s="74"/>
    </row>
    <row r="26" spans="1:16" s="67" customFormat="1" ht="17.25" customHeight="1" x14ac:dyDescent="0.25">
      <c r="A26" s="62" t="s">
        <v>106</v>
      </c>
      <c r="B26" s="60"/>
      <c r="C26" s="60"/>
      <c r="D26" s="60"/>
      <c r="E26" s="60"/>
      <c r="F26" s="60"/>
      <c r="G26" s="60"/>
      <c r="H26" s="60"/>
      <c r="I26" s="60"/>
      <c r="J26" s="60"/>
      <c r="K26" s="60"/>
      <c r="L26" s="60"/>
      <c r="M26" s="60"/>
      <c r="N26" s="56"/>
      <c r="O26" s="48"/>
      <c r="P26" s="48"/>
    </row>
    <row r="27" spans="1:16" s="74" customFormat="1" ht="17.25" customHeight="1" x14ac:dyDescent="0.25">
      <c r="A27" s="59" t="s">
        <v>52</v>
      </c>
      <c r="B27" s="60">
        <v>50000</v>
      </c>
      <c r="C27" s="60">
        <f t="shared" ref="C27:M42" si="11">+B27</f>
        <v>50000</v>
      </c>
      <c r="D27" s="60">
        <f t="shared" si="11"/>
        <v>50000</v>
      </c>
      <c r="E27" s="60">
        <f t="shared" si="11"/>
        <v>50000</v>
      </c>
      <c r="F27" s="60">
        <f t="shared" si="11"/>
        <v>50000</v>
      </c>
      <c r="G27" s="60">
        <f t="shared" si="11"/>
        <v>50000</v>
      </c>
      <c r="H27" s="60">
        <f t="shared" si="11"/>
        <v>50000</v>
      </c>
      <c r="I27" s="60">
        <f t="shared" si="11"/>
        <v>50000</v>
      </c>
      <c r="J27" s="60">
        <f t="shared" si="11"/>
        <v>50000</v>
      </c>
      <c r="K27" s="60">
        <f t="shared" si="11"/>
        <v>50000</v>
      </c>
      <c r="L27" s="60">
        <f t="shared" si="11"/>
        <v>50000</v>
      </c>
      <c r="M27" s="60">
        <f t="shared" si="11"/>
        <v>50000</v>
      </c>
      <c r="N27" s="56">
        <f t="shared" si="0"/>
        <v>600000</v>
      </c>
      <c r="O27" s="48"/>
      <c r="P27" s="48"/>
    </row>
    <row r="28" spans="1:16" ht="17.25" customHeight="1" x14ac:dyDescent="0.25">
      <c r="A28" s="59" t="s">
        <v>12</v>
      </c>
      <c r="B28" s="60">
        <v>33333.333333333336</v>
      </c>
      <c r="C28" s="60">
        <f t="shared" si="11"/>
        <v>33333.333333333336</v>
      </c>
      <c r="D28" s="60">
        <f t="shared" si="11"/>
        <v>33333.333333333336</v>
      </c>
      <c r="E28" s="60">
        <f t="shared" si="11"/>
        <v>33333.333333333336</v>
      </c>
      <c r="F28" s="60">
        <f t="shared" si="11"/>
        <v>33333.333333333336</v>
      </c>
      <c r="G28" s="60">
        <f t="shared" si="11"/>
        <v>33333.333333333336</v>
      </c>
      <c r="H28" s="60">
        <f t="shared" si="11"/>
        <v>33333.333333333336</v>
      </c>
      <c r="I28" s="60">
        <f t="shared" si="11"/>
        <v>33333.333333333336</v>
      </c>
      <c r="J28" s="60">
        <f t="shared" si="11"/>
        <v>33333.333333333336</v>
      </c>
      <c r="K28" s="60">
        <f t="shared" si="11"/>
        <v>33333.333333333336</v>
      </c>
      <c r="L28" s="60">
        <f t="shared" si="11"/>
        <v>33333.333333333336</v>
      </c>
      <c r="M28" s="60">
        <f t="shared" si="11"/>
        <v>33333.333333333336</v>
      </c>
      <c r="N28" s="56">
        <f t="shared" si="0"/>
        <v>399999.99999999994</v>
      </c>
    </row>
    <row r="29" spans="1:16" ht="17.25" customHeight="1" x14ac:dyDescent="0.25">
      <c r="A29" s="59" t="s">
        <v>13</v>
      </c>
      <c r="B29" s="60">
        <v>20833.333333333332</v>
      </c>
      <c r="C29" s="60">
        <f t="shared" si="11"/>
        <v>20833.333333333332</v>
      </c>
      <c r="D29" s="60">
        <f t="shared" si="11"/>
        <v>20833.333333333332</v>
      </c>
      <c r="E29" s="60">
        <f t="shared" si="11"/>
        <v>20833.333333333332</v>
      </c>
      <c r="F29" s="60">
        <f t="shared" si="11"/>
        <v>20833.333333333332</v>
      </c>
      <c r="G29" s="60">
        <f t="shared" si="11"/>
        <v>20833.333333333332</v>
      </c>
      <c r="H29" s="60">
        <f t="shared" si="11"/>
        <v>20833.333333333332</v>
      </c>
      <c r="I29" s="60">
        <f t="shared" si="11"/>
        <v>20833.333333333332</v>
      </c>
      <c r="J29" s="60">
        <f t="shared" si="11"/>
        <v>20833.333333333332</v>
      </c>
      <c r="K29" s="60">
        <f t="shared" si="11"/>
        <v>20833.333333333332</v>
      </c>
      <c r="L29" s="60">
        <f t="shared" si="11"/>
        <v>20833.333333333332</v>
      </c>
      <c r="M29" s="60">
        <f t="shared" si="11"/>
        <v>20833.333333333332</v>
      </c>
      <c r="N29" s="56">
        <f t="shared" si="0"/>
        <v>250000.00000000003</v>
      </c>
    </row>
    <row r="30" spans="1:16" ht="17.25" customHeight="1" x14ac:dyDescent="0.25">
      <c r="A30" s="59" t="s">
        <v>1</v>
      </c>
      <c r="B30" s="60">
        <v>25000</v>
      </c>
      <c r="C30" s="60">
        <f t="shared" si="11"/>
        <v>25000</v>
      </c>
      <c r="D30" s="60">
        <f t="shared" si="11"/>
        <v>25000</v>
      </c>
      <c r="E30" s="60">
        <f t="shared" si="11"/>
        <v>25000</v>
      </c>
      <c r="F30" s="60">
        <f t="shared" si="11"/>
        <v>25000</v>
      </c>
      <c r="G30" s="60">
        <f t="shared" si="11"/>
        <v>25000</v>
      </c>
      <c r="H30" s="60">
        <f t="shared" si="11"/>
        <v>25000</v>
      </c>
      <c r="I30" s="60">
        <f t="shared" si="11"/>
        <v>25000</v>
      </c>
      <c r="J30" s="60">
        <f t="shared" si="11"/>
        <v>25000</v>
      </c>
      <c r="K30" s="60">
        <f t="shared" si="11"/>
        <v>25000</v>
      </c>
      <c r="L30" s="60">
        <f t="shared" si="11"/>
        <v>25000</v>
      </c>
      <c r="M30" s="60">
        <f t="shared" si="11"/>
        <v>25000</v>
      </c>
      <c r="N30" s="56">
        <f t="shared" si="0"/>
        <v>300000</v>
      </c>
    </row>
    <row r="31" spans="1:16" ht="17.25" customHeight="1" x14ac:dyDescent="0.25">
      <c r="A31" s="59" t="s">
        <v>57</v>
      </c>
      <c r="B31" s="60">
        <v>16666.666666666668</v>
      </c>
      <c r="C31" s="60">
        <f t="shared" si="11"/>
        <v>16666.666666666668</v>
      </c>
      <c r="D31" s="60">
        <f t="shared" si="11"/>
        <v>16666.666666666668</v>
      </c>
      <c r="E31" s="60">
        <f t="shared" si="11"/>
        <v>16666.666666666668</v>
      </c>
      <c r="F31" s="60">
        <f t="shared" si="11"/>
        <v>16666.666666666668</v>
      </c>
      <c r="G31" s="60">
        <f t="shared" si="11"/>
        <v>16666.666666666668</v>
      </c>
      <c r="H31" s="60">
        <f t="shared" si="11"/>
        <v>16666.666666666668</v>
      </c>
      <c r="I31" s="60">
        <f t="shared" si="11"/>
        <v>16666.666666666668</v>
      </c>
      <c r="J31" s="60">
        <f t="shared" si="11"/>
        <v>16666.666666666668</v>
      </c>
      <c r="K31" s="60">
        <f t="shared" si="11"/>
        <v>16666.666666666668</v>
      </c>
      <c r="L31" s="60">
        <f t="shared" si="11"/>
        <v>16666.666666666668</v>
      </c>
      <c r="M31" s="60">
        <f t="shared" si="11"/>
        <v>16666.666666666668</v>
      </c>
      <c r="N31" s="56">
        <f t="shared" si="0"/>
        <v>199999.99999999997</v>
      </c>
    </row>
    <row r="32" spans="1:16" ht="17.25" customHeight="1" x14ac:dyDescent="0.25">
      <c r="A32" s="59" t="s">
        <v>15</v>
      </c>
      <c r="B32" s="60">
        <v>58333.333333333336</v>
      </c>
      <c r="C32" s="60">
        <f t="shared" si="11"/>
        <v>58333.333333333336</v>
      </c>
      <c r="D32" s="60">
        <f t="shared" si="11"/>
        <v>58333.333333333336</v>
      </c>
      <c r="E32" s="60">
        <f t="shared" si="11"/>
        <v>58333.333333333336</v>
      </c>
      <c r="F32" s="60">
        <f t="shared" si="11"/>
        <v>58333.333333333336</v>
      </c>
      <c r="G32" s="60">
        <f t="shared" si="11"/>
        <v>58333.333333333336</v>
      </c>
      <c r="H32" s="60">
        <f t="shared" si="11"/>
        <v>58333.333333333336</v>
      </c>
      <c r="I32" s="60">
        <f t="shared" si="11"/>
        <v>58333.333333333336</v>
      </c>
      <c r="J32" s="60">
        <f t="shared" si="11"/>
        <v>58333.333333333336</v>
      </c>
      <c r="K32" s="60">
        <f t="shared" si="11"/>
        <v>58333.333333333336</v>
      </c>
      <c r="L32" s="60">
        <f t="shared" si="11"/>
        <v>58333.333333333336</v>
      </c>
      <c r="M32" s="60">
        <f t="shared" si="11"/>
        <v>58333.333333333336</v>
      </c>
      <c r="N32" s="56">
        <f t="shared" si="0"/>
        <v>700000.00000000012</v>
      </c>
    </row>
    <row r="33" spans="1:16" ht="17.25" customHeight="1" x14ac:dyDescent="0.25">
      <c r="A33" s="59" t="s">
        <v>2</v>
      </c>
      <c r="B33" s="60">
        <v>100000</v>
      </c>
      <c r="C33" s="60">
        <f t="shared" si="11"/>
        <v>100000</v>
      </c>
      <c r="D33" s="60">
        <f t="shared" si="11"/>
        <v>100000</v>
      </c>
      <c r="E33" s="60">
        <f t="shared" si="11"/>
        <v>100000</v>
      </c>
      <c r="F33" s="60">
        <f t="shared" si="11"/>
        <v>100000</v>
      </c>
      <c r="G33" s="60">
        <f t="shared" si="11"/>
        <v>100000</v>
      </c>
      <c r="H33" s="60">
        <f t="shared" si="11"/>
        <v>100000</v>
      </c>
      <c r="I33" s="60">
        <f t="shared" si="11"/>
        <v>100000</v>
      </c>
      <c r="J33" s="60">
        <f t="shared" si="11"/>
        <v>100000</v>
      </c>
      <c r="K33" s="60">
        <f t="shared" si="11"/>
        <v>100000</v>
      </c>
      <c r="L33" s="60">
        <f t="shared" si="11"/>
        <v>100000</v>
      </c>
      <c r="M33" s="60">
        <f t="shared" si="11"/>
        <v>100000</v>
      </c>
      <c r="N33" s="56">
        <f t="shared" si="0"/>
        <v>1200000</v>
      </c>
    </row>
    <row r="34" spans="1:16" ht="17.25" customHeight="1" x14ac:dyDescent="0.25">
      <c r="A34" s="59" t="s">
        <v>53</v>
      </c>
      <c r="B34" s="60">
        <v>5000</v>
      </c>
      <c r="C34" s="60">
        <f t="shared" si="11"/>
        <v>5000</v>
      </c>
      <c r="D34" s="60">
        <f t="shared" si="11"/>
        <v>5000</v>
      </c>
      <c r="E34" s="60">
        <f t="shared" si="11"/>
        <v>5000</v>
      </c>
      <c r="F34" s="60">
        <f t="shared" si="11"/>
        <v>5000</v>
      </c>
      <c r="G34" s="60">
        <f t="shared" si="11"/>
        <v>5000</v>
      </c>
      <c r="H34" s="60">
        <f t="shared" si="11"/>
        <v>5000</v>
      </c>
      <c r="I34" s="60">
        <f t="shared" si="11"/>
        <v>5000</v>
      </c>
      <c r="J34" s="60">
        <f t="shared" si="11"/>
        <v>5000</v>
      </c>
      <c r="K34" s="60">
        <f t="shared" si="11"/>
        <v>5000</v>
      </c>
      <c r="L34" s="60">
        <f t="shared" si="11"/>
        <v>5000</v>
      </c>
      <c r="M34" s="60">
        <f t="shared" si="11"/>
        <v>5000</v>
      </c>
      <c r="N34" s="56">
        <f t="shared" si="0"/>
        <v>60000</v>
      </c>
    </row>
    <row r="35" spans="1:16" ht="17.25" customHeight="1" x14ac:dyDescent="0.25">
      <c r="A35" s="59" t="s">
        <v>16</v>
      </c>
      <c r="B35" s="60">
        <v>12500</v>
      </c>
      <c r="C35" s="60">
        <f t="shared" si="11"/>
        <v>12500</v>
      </c>
      <c r="D35" s="60">
        <f t="shared" si="11"/>
        <v>12500</v>
      </c>
      <c r="E35" s="60">
        <f t="shared" si="11"/>
        <v>12500</v>
      </c>
      <c r="F35" s="60">
        <f t="shared" si="11"/>
        <v>12500</v>
      </c>
      <c r="G35" s="60">
        <f t="shared" si="11"/>
        <v>12500</v>
      </c>
      <c r="H35" s="60">
        <f t="shared" si="11"/>
        <v>12500</v>
      </c>
      <c r="I35" s="60">
        <f t="shared" si="11"/>
        <v>12500</v>
      </c>
      <c r="J35" s="60">
        <f t="shared" si="11"/>
        <v>12500</v>
      </c>
      <c r="K35" s="60">
        <f t="shared" si="11"/>
        <v>12500</v>
      </c>
      <c r="L35" s="60">
        <f t="shared" si="11"/>
        <v>12500</v>
      </c>
      <c r="M35" s="60">
        <f t="shared" si="11"/>
        <v>12500</v>
      </c>
      <c r="N35" s="56">
        <f t="shared" si="0"/>
        <v>150000</v>
      </c>
    </row>
    <row r="36" spans="1:16" ht="17.25" customHeight="1" x14ac:dyDescent="0.25">
      <c r="A36" s="59" t="s">
        <v>5</v>
      </c>
      <c r="B36" s="60">
        <v>375000</v>
      </c>
      <c r="C36" s="60">
        <f t="shared" si="11"/>
        <v>375000</v>
      </c>
      <c r="D36" s="60">
        <f t="shared" si="11"/>
        <v>375000</v>
      </c>
      <c r="E36" s="60">
        <f t="shared" si="11"/>
        <v>375000</v>
      </c>
      <c r="F36" s="60">
        <f t="shared" si="11"/>
        <v>375000</v>
      </c>
      <c r="G36" s="60">
        <f t="shared" si="11"/>
        <v>375000</v>
      </c>
      <c r="H36" s="60">
        <f t="shared" si="11"/>
        <v>375000</v>
      </c>
      <c r="I36" s="60">
        <f t="shared" si="11"/>
        <v>375000</v>
      </c>
      <c r="J36" s="60">
        <f t="shared" si="11"/>
        <v>375000</v>
      </c>
      <c r="K36" s="60">
        <f t="shared" si="11"/>
        <v>375000</v>
      </c>
      <c r="L36" s="60">
        <f t="shared" si="11"/>
        <v>375000</v>
      </c>
      <c r="M36" s="60">
        <f t="shared" si="11"/>
        <v>375000</v>
      </c>
      <c r="N36" s="56">
        <f t="shared" si="0"/>
        <v>4500000</v>
      </c>
    </row>
    <row r="37" spans="1:16" ht="17.25" customHeight="1" x14ac:dyDescent="0.25">
      <c r="A37" s="75" t="s">
        <v>17</v>
      </c>
      <c r="B37" s="60">
        <v>20000</v>
      </c>
      <c r="C37" s="60">
        <f t="shared" si="11"/>
        <v>20000</v>
      </c>
      <c r="D37" s="60">
        <f t="shared" si="11"/>
        <v>20000</v>
      </c>
      <c r="E37" s="60">
        <f t="shared" si="11"/>
        <v>20000</v>
      </c>
      <c r="F37" s="60">
        <f t="shared" si="11"/>
        <v>20000</v>
      </c>
      <c r="G37" s="60">
        <f t="shared" si="11"/>
        <v>20000</v>
      </c>
      <c r="H37" s="60">
        <f t="shared" si="11"/>
        <v>20000</v>
      </c>
      <c r="I37" s="60">
        <f t="shared" si="11"/>
        <v>20000</v>
      </c>
      <c r="J37" s="60">
        <f t="shared" si="11"/>
        <v>20000</v>
      </c>
      <c r="K37" s="60">
        <f t="shared" si="11"/>
        <v>20000</v>
      </c>
      <c r="L37" s="60">
        <f t="shared" si="11"/>
        <v>20000</v>
      </c>
      <c r="M37" s="60">
        <f t="shared" si="11"/>
        <v>20000</v>
      </c>
      <c r="N37" s="56">
        <f t="shared" si="0"/>
        <v>240000</v>
      </c>
    </row>
    <row r="38" spans="1:16" ht="17.25" customHeight="1" x14ac:dyDescent="0.25">
      <c r="A38" s="59" t="s">
        <v>18</v>
      </c>
      <c r="B38" s="60">
        <v>55000</v>
      </c>
      <c r="C38" s="60">
        <f t="shared" si="11"/>
        <v>55000</v>
      </c>
      <c r="D38" s="60">
        <f t="shared" si="11"/>
        <v>55000</v>
      </c>
      <c r="E38" s="60">
        <f t="shared" si="11"/>
        <v>55000</v>
      </c>
      <c r="F38" s="60">
        <f t="shared" si="11"/>
        <v>55000</v>
      </c>
      <c r="G38" s="60">
        <f t="shared" si="11"/>
        <v>55000</v>
      </c>
      <c r="H38" s="60">
        <f t="shared" si="11"/>
        <v>55000</v>
      </c>
      <c r="I38" s="60">
        <f t="shared" si="11"/>
        <v>55000</v>
      </c>
      <c r="J38" s="60">
        <f t="shared" si="11"/>
        <v>55000</v>
      </c>
      <c r="K38" s="60">
        <f t="shared" si="11"/>
        <v>55000</v>
      </c>
      <c r="L38" s="60">
        <f t="shared" si="11"/>
        <v>55000</v>
      </c>
      <c r="M38" s="60">
        <f t="shared" si="11"/>
        <v>55000</v>
      </c>
      <c r="N38" s="56">
        <f t="shared" si="0"/>
        <v>660000</v>
      </c>
    </row>
    <row r="39" spans="1:16" ht="17.25" customHeight="1" x14ac:dyDescent="0.25">
      <c r="A39" s="59" t="s">
        <v>19</v>
      </c>
      <c r="B39" s="60">
        <v>50000</v>
      </c>
      <c r="C39" s="60">
        <f t="shared" si="11"/>
        <v>50000</v>
      </c>
      <c r="D39" s="60">
        <f t="shared" si="11"/>
        <v>50000</v>
      </c>
      <c r="E39" s="60">
        <f t="shared" si="11"/>
        <v>50000</v>
      </c>
      <c r="F39" s="60">
        <f t="shared" si="11"/>
        <v>50000</v>
      </c>
      <c r="G39" s="60">
        <f t="shared" si="11"/>
        <v>50000</v>
      </c>
      <c r="H39" s="60">
        <f t="shared" si="11"/>
        <v>50000</v>
      </c>
      <c r="I39" s="60">
        <f t="shared" si="11"/>
        <v>50000</v>
      </c>
      <c r="J39" s="60">
        <f t="shared" si="11"/>
        <v>50000</v>
      </c>
      <c r="K39" s="60">
        <f t="shared" si="11"/>
        <v>50000</v>
      </c>
      <c r="L39" s="60">
        <f t="shared" si="11"/>
        <v>50000</v>
      </c>
      <c r="M39" s="60">
        <f t="shared" si="11"/>
        <v>50000</v>
      </c>
      <c r="N39" s="56">
        <f t="shared" si="0"/>
        <v>600000</v>
      </c>
    </row>
    <row r="40" spans="1:16" ht="17.25" customHeight="1" x14ac:dyDescent="0.25">
      <c r="A40" s="59" t="s">
        <v>20</v>
      </c>
      <c r="B40" s="60">
        <v>166666.66666666666</v>
      </c>
      <c r="C40" s="60">
        <f t="shared" si="11"/>
        <v>166666.66666666666</v>
      </c>
      <c r="D40" s="60">
        <f t="shared" si="11"/>
        <v>166666.66666666666</v>
      </c>
      <c r="E40" s="60">
        <f t="shared" si="11"/>
        <v>166666.66666666666</v>
      </c>
      <c r="F40" s="60">
        <f t="shared" si="11"/>
        <v>166666.66666666666</v>
      </c>
      <c r="G40" s="60">
        <f t="shared" si="11"/>
        <v>166666.66666666666</v>
      </c>
      <c r="H40" s="60">
        <f t="shared" si="11"/>
        <v>166666.66666666666</v>
      </c>
      <c r="I40" s="60">
        <f t="shared" si="11"/>
        <v>166666.66666666666</v>
      </c>
      <c r="J40" s="60">
        <f t="shared" si="11"/>
        <v>166666.66666666666</v>
      </c>
      <c r="K40" s="60">
        <f t="shared" si="11"/>
        <v>166666.66666666666</v>
      </c>
      <c r="L40" s="60">
        <f t="shared" si="11"/>
        <v>166666.66666666666</v>
      </c>
      <c r="M40" s="60">
        <f t="shared" si="11"/>
        <v>166666.66666666666</v>
      </c>
      <c r="N40" s="56">
        <f t="shared" si="0"/>
        <v>2000000.0000000002</v>
      </c>
    </row>
    <row r="41" spans="1:16" ht="17.25" customHeight="1" x14ac:dyDescent="0.25">
      <c r="A41" s="59" t="s">
        <v>21</v>
      </c>
      <c r="B41" s="60">
        <v>375000</v>
      </c>
      <c r="C41" s="60">
        <f t="shared" si="11"/>
        <v>375000</v>
      </c>
      <c r="D41" s="60">
        <f t="shared" si="11"/>
        <v>375000</v>
      </c>
      <c r="E41" s="60">
        <v>500000</v>
      </c>
      <c r="F41" s="60">
        <f t="shared" si="11"/>
        <v>500000</v>
      </c>
      <c r="G41" s="60">
        <f t="shared" si="11"/>
        <v>500000</v>
      </c>
      <c r="H41" s="60">
        <f t="shared" si="11"/>
        <v>500000</v>
      </c>
      <c r="I41" s="60">
        <f t="shared" si="11"/>
        <v>500000</v>
      </c>
      <c r="J41" s="60">
        <f t="shared" si="11"/>
        <v>500000</v>
      </c>
      <c r="K41" s="60">
        <f t="shared" si="11"/>
        <v>500000</v>
      </c>
      <c r="L41" s="60">
        <f t="shared" si="11"/>
        <v>500000</v>
      </c>
      <c r="M41" s="60">
        <f t="shared" si="11"/>
        <v>500000</v>
      </c>
      <c r="N41" s="56">
        <f t="shared" si="0"/>
        <v>5625000</v>
      </c>
    </row>
    <row r="42" spans="1:16" ht="17.25" customHeight="1" x14ac:dyDescent="0.25">
      <c r="A42" s="59" t="s">
        <v>22</v>
      </c>
      <c r="B42" s="60">
        <v>33333.333333333336</v>
      </c>
      <c r="C42" s="60">
        <f t="shared" si="11"/>
        <v>33333.333333333336</v>
      </c>
      <c r="D42" s="60">
        <f t="shared" si="11"/>
        <v>33333.333333333336</v>
      </c>
      <c r="E42" s="60">
        <f t="shared" si="11"/>
        <v>33333.333333333336</v>
      </c>
      <c r="F42" s="60">
        <f t="shared" si="11"/>
        <v>33333.333333333336</v>
      </c>
      <c r="G42" s="60">
        <f t="shared" si="11"/>
        <v>33333.333333333336</v>
      </c>
      <c r="H42" s="60">
        <f t="shared" si="11"/>
        <v>33333.333333333336</v>
      </c>
      <c r="I42" s="60">
        <f t="shared" si="11"/>
        <v>33333.333333333336</v>
      </c>
      <c r="J42" s="60">
        <f t="shared" si="11"/>
        <v>33333.333333333336</v>
      </c>
      <c r="K42" s="60">
        <f t="shared" si="11"/>
        <v>33333.333333333336</v>
      </c>
      <c r="L42" s="60">
        <f t="shared" si="11"/>
        <v>33333.333333333336</v>
      </c>
      <c r="M42" s="60">
        <f t="shared" si="11"/>
        <v>33333.333333333336</v>
      </c>
      <c r="N42" s="56">
        <f t="shared" si="0"/>
        <v>399999.99999999994</v>
      </c>
    </row>
    <row r="43" spans="1:16" ht="17.25" customHeight="1" x14ac:dyDescent="0.25">
      <c r="A43" s="59" t="s">
        <v>23</v>
      </c>
      <c r="B43" s="60">
        <v>5200000</v>
      </c>
      <c r="C43" s="60">
        <f t="shared" ref="C43:E54" si="12">+B43</f>
        <v>5200000</v>
      </c>
      <c r="D43" s="60">
        <f t="shared" si="12"/>
        <v>5200000</v>
      </c>
      <c r="E43" s="60">
        <v>5400000</v>
      </c>
      <c r="F43" s="60">
        <f>+E43</f>
        <v>5400000</v>
      </c>
      <c r="G43" s="60">
        <f>+F43</f>
        <v>5400000</v>
      </c>
      <c r="H43" s="60">
        <v>5400000</v>
      </c>
      <c r="I43" s="60">
        <f>+H43</f>
        <v>5400000</v>
      </c>
      <c r="J43" s="60">
        <v>5700000</v>
      </c>
      <c r="K43" s="60">
        <f t="shared" ref="K43:M44" si="13">+J43</f>
        <v>5700000</v>
      </c>
      <c r="L43" s="60">
        <f t="shared" si="13"/>
        <v>5700000</v>
      </c>
      <c r="M43" s="60">
        <f t="shared" si="13"/>
        <v>5700000</v>
      </c>
      <c r="N43" s="56">
        <f t="shared" si="0"/>
        <v>65400000</v>
      </c>
    </row>
    <row r="44" spans="1:16" ht="17.25" customHeight="1" x14ac:dyDescent="0.25">
      <c r="A44" s="59" t="s">
        <v>92</v>
      </c>
      <c r="B44" s="60">
        <v>300000</v>
      </c>
      <c r="C44" s="60">
        <f t="shared" si="12"/>
        <v>300000</v>
      </c>
      <c r="D44" s="60">
        <f t="shared" si="12"/>
        <v>300000</v>
      </c>
      <c r="E44" s="60">
        <f t="shared" si="12"/>
        <v>300000</v>
      </c>
      <c r="F44" s="60">
        <f>+E44</f>
        <v>300000</v>
      </c>
      <c r="G44" s="60">
        <f>+F44</f>
        <v>300000</v>
      </c>
      <c r="H44" s="60">
        <f>+G44</f>
        <v>300000</v>
      </c>
      <c r="I44" s="60">
        <f>+H44</f>
        <v>300000</v>
      </c>
      <c r="J44" s="60">
        <f>+I44</f>
        <v>300000</v>
      </c>
      <c r="K44" s="60">
        <f t="shared" si="13"/>
        <v>300000</v>
      </c>
      <c r="L44" s="60">
        <f t="shared" si="13"/>
        <v>300000</v>
      </c>
      <c r="M44" s="60">
        <f t="shared" si="13"/>
        <v>300000</v>
      </c>
      <c r="N44" s="56">
        <f t="shared" si="0"/>
        <v>3600000</v>
      </c>
    </row>
    <row r="45" spans="1:16" ht="17.25" customHeight="1" x14ac:dyDescent="0.25">
      <c r="A45" s="76"/>
      <c r="B45" s="77"/>
      <c r="C45" s="77"/>
      <c r="D45" s="77"/>
      <c r="E45" s="77"/>
      <c r="F45" s="77"/>
      <c r="G45" s="77"/>
      <c r="H45" s="77"/>
      <c r="I45" s="77"/>
      <c r="J45" s="77"/>
      <c r="K45" s="77"/>
      <c r="L45" s="77"/>
      <c r="M45" s="77"/>
      <c r="N45" s="56"/>
      <c r="O45" s="78"/>
      <c r="P45" s="78"/>
    </row>
    <row r="46" spans="1:16" ht="17.25" customHeight="1" x14ac:dyDescent="0.25">
      <c r="A46" s="59" t="s">
        <v>87</v>
      </c>
      <c r="B46" s="60">
        <v>333333.33333333331</v>
      </c>
      <c r="C46" s="60">
        <f t="shared" si="12"/>
        <v>333333.33333333331</v>
      </c>
      <c r="D46" s="60">
        <f t="shared" si="12"/>
        <v>333333.33333333331</v>
      </c>
      <c r="E46" s="60">
        <f t="shared" si="12"/>
        <v>333333.33333333331</v>
      </c>
      <c r="F46" s="60">
        <f t="shared" ref="F46:M54" si="14">+E46</f>
        <v>333333.33333333331</v>
      </c>
      <c r="G46" s="60">
        <f t="shared" si="14"/>
        <v>333333.33333333331</v>
      </c>
      <c r="H46" s="60">
        <f t="shared" si="14"/>
        <v>333333.33333333331</v>
      </c>
      <c r="I46" s="60">
        <f t="shared" si="14"/>
        <v>333333.33333333331</v>
      </c>
      <c r="J46" s="60">
        <f t="shared" si="14"/>
        <v>333333.33333333331</v>
      </c>
      <c r="K46" s="60">
        <f t="shared" si="14"/>
        <v>333333.33333333331</v>
      </c>
      <c r="L46" s="60">
        <f t="shared" si="14"/>
        <v>333333.33333333331</v>
      </c>
      <c r="M46" s="60">
        <f t="shared" si="14"/>
        <v>333333.33333333331</v>
      </c>
      <c r="N46" s="56">
        <f t="shared" si="0"/>
        <v>4000000.0000000005</v>
      </c>
    </row>
    <row r="47" spans="1:16" ht="17.25" customHeight="1" x14ac:dyDescent="0.25">
      <c r="A47" s="79" t="s">
        <v>24</v>
      </c>
      <c r="B47" s="60">
        <v>200000</v>
      </c>
      <c r="C47" s="60">
        <f t="shared" si="12"/>
        <v>200000</v>
      </c>
      <c r="D47" s="60">
        <f t="shared" si="12"/>
        <v>200000</v>
      </c>
      <c r="E47" s="60">
        <f t="shared" si="12"/>
        <v>200000</v>
      </c>
      <c r="F47" s="60">
        <f t="shared" si="14"/>
        <v>200000</v>
      </c>
      <c r="G47" s="60">
        <f t="shared" si="14"/>
        <v>200000</v>
      </c>
      <c r="H47" s="60">
        <f t="shared" si="14"/>
        <v>200000</v>
      </c>
      <c r="I47" s="60">
        <f t="shared" si="14"/>
        <v>200000</v>
      </c>
      <c r="J47" s="60">
        <f t="shared" si="14"/>
        <v>200000</v>
      </c>
      <c r="K47" s="60">
        <f t="shared" si="14"/>
        <v>200000</v>
      </c>
      <c r="L47" s="60">
        <f t="shared" si="14"/>
        <v>200000</v>
      </c>
      <c r="M47" s="60">
        <f t="shared" si="14"/>
        <v>200000</v>
      </c>
      <c r="N47" s="56">
        <f t="shared" si="0"/>
        <v>2400000</v>
      </c>
      <c r="O47" s="80"/>
      <c r="P47" s="80"/>
    </row>
    <row r="48" spans="1:16" ht="17.25" customHeight="1" x14ac:dyDescent="0.25">
      <c r="A48" s="59" t="s">
        <v>25</v>
      </c>
      <c r="B48" s="60">
        <v>200000</v>
      </c>
      <c r="C48" s="60">
        <f t="shared" si="12"/>
        <v>200000</v>
      </c>
      <c r="D48" s="60">
        <f t="shared" si="12"/>
        <v>200000</v>
      </c>
      <c r="E48" s="60">
        <f t="shared" si="12"/>
        <v>200000</v>
      </c>
      <c r="F48" s="60">
        <f t="shared" si="14"/>
        <v>200000</v>
      </c>
      <c r="G48" s="60">
        <f t="shared" si="14"/>
        <v>200000</v>
      </c>
      <c r="H48" s="60">
        <f t="shared" si="14"/>
        <v>200000</v>
      </c>
      <c r="I48" s="60">
        <f t="shared" si="14"/>
        <v>200000</v>
      </c>
      <c r="J48" s="60">
        <f t="shared" si="14"/>
        <v>200000</v>
      </c>
      <c r="K48" s="60">
        <f t="shared" si="14"/>
        <v>200000</v>
      </c>
      <c r="L48" s="60">
        <f t="shared" si="14"/>
        <v>200000</v>
      </c>
      <c r="M48" s="60">
        <f t="shared" si="14"/>
        <v>200000</v>
      </c>
      <c r="N48" s="56">
        <f t="shared" si="0"/>
        <v>2400000</v>
      </c>
    </row>
    <row r="49" spans="1:16" ht="17.25" customHeight="1" x14ac:dyDescent="0.25">
      <c r="A49" s="59" t="s">
        <v>26</v>
      </c>
      <c r="B49" s="60">
        <f>100000/12</f>
        <v>8333.3333333333339</v>
      </c>
      <c r="C49" s="60">
        <f t="shared" si="12"/>
        <v>8333.3333333333339</v>
      </c>
      <c r="D49" s="60">
        <f t="shared" si="12"/>
        <v>8333.3333333333339</v>
      </c>
      <c r="E49" s="60">
        <f t="shared" si="12"/>
        <v>8333.3333333333339</v>
      </c>
      <c r="F49" s="60">
        <f t="shared" si="14"/>
        <v>8333.3333333333339</v>
      </c>
      <c r="G49" s="60">
        <f t="shared" si="14"/>
        <v>8333.3333333333339</v>
      </c>
      <c r="H49" s="60">
        <f t="shared" si="14"/>
        <v>8333.3333333333339</v>
      </c>
      <c r="I49" s="60">
        <f t="shared" si="14"/>
        <v>8333.3333333333339</v>
      </c>
      <c r="J49" s="60">
        <f t="shared" si="14"/>
        <v>8333.3333333333339</v>
      </c>
      <c r="K49" s="60">
        <f t="shared" si="14"/>
        <v>8333.3333333333339</v>
      </c>
      <c r="L49" s="60">
        <f t="shared" si="14"/>
        <v>8333.3333333333339</v>
      </c>
      <c r="M49" s="60">
        <f t="shared" si="14"/>
        <v>8333.3333333333339</v>
      </c>
      <c r="N49" s="56">
        <f t="shared" si="0"/>
        <v>99999.999999999985</v>
      </c>
    </row>
    <row r="50" spans="1:16" ht="17.25" customHeight="1" x14ac:dyDescent="0.25">
      <c r="A50" s="59" t="s">
        <v>27</v>
      </c>
      <c r="B50" s="60">
        <f>2000000/12</f>
        <v>166666.66666666666</v>
      </c>
      <c r="C50" s="60">
        <f t="shared" si="12"/>
        <v>166666.66666666666</v>
      </c>
      <c r="D50" s="60">
        <f t="shared" si="12"/>
        <v>166666.66666666666</v>
      </c>
      <c r="E50" s="60">
        <f t="shared" si="12"/>
        <v>166666.66666666666</v>
      </c>
      <c r="F50" s="60">
        <f t="shared" si="14"/>
        <v>166666.66666666666</v>
      </c>
      <c r="G50" s="60">
        <f t="shared" si="14"/>
        <v>166666.66666666666</v>
      </c>
      <c r="H50" s="60">
        <f t="shared" si="14"/>
        <v>166666.66666666666</v>
      </c>
      <c r="I50" s="60">
        <f t="shared" si="14"/>
        <v>166666.66666666666</v>
      </c>
      <c r="J50" s="60">
        <f t="shared" si="14"/>
        <v>166666.66666666666</v>
      </c>
      <c r="K50" s="60">
        <f t="shared" si="14"/>
        <v>166666.66666666666</v>
      </c>
      <c r="L50" s="60">
        <f t="shared" si="14"/>
        <v>166666.66666666666</v>
      </c>
      <c r="M50" s="60">
        <f t="shared" si="14"/>
        <v>166666.66666666666</v>
      </c>
      <c r="N50" s="56">
        <f t="shared" si="0"/>
        <v>2000000.0000000002</v>
      </c>
    </row>
    <row r="51" spans="1:16" ht="17.25" customHeight="1" x14ac:dyDescent="0.25">
      <c r="A51" s="59" t="s">
        <v>28</v>
      </c>
      <c r="B51" s="60">
        <v>100000</v>
      </c>
      <c r="C51" s="60">
        <f t="shared" si="12"/>
        <v>100000</v>
      </c>
      <c r="D51" s="60">
        <f t="shared" si="12"/>
        <v>100000</v>
      </c>
      <c r="E51" s="60">
        <f t="shared" si="12"/>
        <v>100000</v>
      </c>
      <c r="F51" s="60">
        <f t="shared" si="14"/>
        <v>100000</v>
      </c>
      <c r="G51" s="60">
        <f t="shared" si="14"/>
        <v>100000</v>
      </c>
      <c r="H51" s="60">
        <f t="shared" si="14"/>
        <v>100000</v>
      </c>
      <c r="I51" s="60">
        <f t="shared" si="14"/>
        <v>100000</v>
      </c>
      <c r="J51" s="60">
        <f t="shared" si="14"/>
        <v>100000</v>
      </c>
      <c r="K51" s="60">
        <f t="shared" si="14"/>
        <v>100000</v>
      </c>
      <c r="L51" s="60">
        <f t="shared" si="14"/>
        <v>100000</v>
      </c>
      <c r="M51" s="60">
        <f t="shared" si="14"/>
        <v>100000</v>
      </c>
      <c r="N51" s="56">
        <f t="shared" si="0"/>
        <v>1200000</v>
      </c>
    </row>
    <row r="52" spans="1:16" ht="17.25" customHeight="1" x14ac:dyDescent="0.25">
      <c r="A52" s="59" t="s">
        <v>29</v>
      </c>
      <c r="B52" s="60">
        <v>250000</v>
      </c>
      <c r="C52" s="60">
        <f t="shared" si="12"/>
        <v>250000</v>
      </c>
      <c r="D52" s="60">
        <f t="shared" si="12"/>
        <v>250000</v>
      </c>
      <c r="E52" s="60">
        <f t="shared" si="12"/>
        <v>250000</v>
      </c>
      <c r="F52" s="60">
        <f t="shared" si="14"/>
        <v>250000</v>
      </c>
      <c r="G52" s="60">
        <f t="shared" si="14"/>
        <v>250000</v>
      </c>
      <c r="H52" s="60">
        <f t="shared" si="14"/>
        <v>250000</v>
      </c>
      <c r="I52" s="60">
        <f t="shared" si="14"/>
        <v>250000</v>
      </c>
      <c r="J52" s="60">
        <f t="shared" si="14"/>
        <v>250000</v>
      </c>
      <c r="K52" s="60">
        <f t="shared" si="14"/>
        <v>250000</v>
      </c>
      <c r="L52" s="60">
        <f t="shared" si="14"/>
        <v>250000</v>
      </c>
      <c r="M52" s="60">
        <f t="shared" si="14"/>
        <v>250000</v>
      </c>
      <c r="N52" s="56">
        <f t="shared" si="0"/>
        <v>3000000</v>
      </c>
    </row>
    <row r="53" spans="1:16" ht="17.25" customHeight="1" x14ac:dyDescent="0.25">
      <c r="A53" s="59" t="s">
        <v>30</v>
      </c>
      <c r="B53" s="60">
        <v>10000</v>
      </c>
      <c r="C53" s="60">
        <f t="shared" si="12"/>
        <v>10000</v>
      </c>
      <c r="D53" s="60">
        <f t="shared" si="12"/>
        <v>10000</v>
      </c>
      <c r="E53" s="60">
        <f t="shared" si="12"/>
        <v>10000</v>
      </c>
      <c r="F53" s="60">
        <f t="shared" si="14"/>
        <v>10000</v>
      </c>
      <c r="G53" s="60">
        <f t="shared" si="14"/>
        <v>10000</v>
      </c>
      <c r="H53" s="60">
        <f t="shared" si="14"/>
        <v>10000</v>
      </c>
      <c r="I53" s="60">
        <f t="shared" si="14"/>
        <v>10000</v>
      </c>
      <c r="J53" s="60">
        <f t="shared" si="14"/>
        <v>10000</v>
      </c>
      <c r="K53" s="60">
        <f t="shared" si="14"/>
        <v>10000</v>
      </c>
      <c r="L53" s="60">
        <f t="shared" si="14"/>
        <v>10000</v>
      </c>
      <c r="M53" s="60">
        <f t="shared" si="14"/>
        <v>10000</v>
      </c>
      <c r="N53" s="56">
        <f t="shared" si="0"/>
        <v>120000</v>
      </c>
    </row>
    <row r="54" spans="1:16" ht="17.25" customHeight="1" x14ac:dyDescent="0.25">
      <c r="A54" s="59" t="s">
        <v>100</v>
      </c>
      <c r="B54" s="60">
        <v>50000</v>
      </c>
      <c r="C54" s="60">
        <f t="shared" si="12"/>
        <v>50000</v>
      </c>
      <c r="D54" s="60">
        <f t="shared" si="12"/>
        <v>50000</v>
      </c>
      <c r="E54" s="60">
        <f t="shared" si="12"/>
        <v>50000</v>
      </c>
      <c r="F54" s="60">
        <f t="shared" si="14"/>
        <v>50000</v>
      </c>
      <c r="G54" s="60">
        <f t="shared" si="14"/>
        <v>50000</v>
      </c>
      <c r="H54" s="60">
        <f t="shared" si="14"/>
        <v>50000</v>
      </c>
      <c r="I54" s="60">
        <f t="shared" si="14"/>
        <v>50000</v>
      </c>
      <c r="J54" s="60">
        <f t="shared" si="14"/>
        <v>50000</v>
      </c>
      <c r="K54" s="60">
        <f t="shared" si="14"/>
        <v>50000</v>
      </c>
      <c r="L54" s="60">
        <f t="shared" si="14"/>
        <v>50000</v>
      </c>
      <c r="M54" s="60">
        <f t="shared" si="14"/>
        <v>50000</v>
      </c>
      <c r="N54" s="56">
        <f t="shared" si="0"/>
        <v>600000</v>
      </c>
    </row>
    <row r="55" spans="1:16" ht="17.25" customHeight="1" x14ac:dyDescent="0.25">
      <c r="A55" s="81" t="s">
        <v>31</v>
      </c>
      <c r="B55" s="64">
        <f t="shared" ref="B55:N55" si="15">SUM(B27:B54)</f>
        <v>8215000</v>
      </c>
      <c r="C55" s="64">
        <f t="shared" si="15"/>
        <v>8215000</v>
      </c>
      <c r="D55" s="64">
        <f t="shared" si="15"/>
        <v>8215000</v>
      </c>
      <c r="E55" s="64">
        <f t="shared" si="15"/>
        <v>8540000</v>
      </c>
      <c r="F55" s="64">
        <f t="shared" si="15"/>
        <v>8540000</v>
      </c>
      <c r="G55" s="64">
        <f t="shared" si="15"/>
        <v>8540000</v>
      </c>
      <c r="H55" s="64">
        <f t="shared" si="15"/>
        <v>8540000</v>
      </c>
      <c r="I55" s="64">
        <f t="shared" si="15"/>
        <v>8540000</v>
      </c>
      <c r="J55" s="64">
        <f t="shared" si="15"/>
        <v>8840000</v>
      </c>
      <c r="K55" s="64">
        <f t="shared" si="15"/>
        <v>8840000</v>
      </c>
      <c r="L55" s="64">
        <f t="shared" si="15"/>
        <v>8840000</v>
      </c>
      <c r="M55" s="64">
        <f t="shared" si="15"/>
        <v>8840000</v>
      </c>
      <c r="N55" s="65">
        <f t="shared" si="15"/>
        <v>102705000</v>
      </c>
    </row>
    <row r="56" spans="1:16" ht="17.25" customHeight="1" x14ac:dyDescent="0.25">
      <c r="A56" s="71" t="s">
        <v>110</v>
      </c>
      <c r="B56" s="72">
        <f>B55/B24</f>
        <v>1.2760897113217351</v>
      </c>
      <c r="C56" s="72">
        <f>C55/C24</f>
        <v>0.95204108513068508</v>
      </c>
      <c r="D56" s="72">
        <f t="shared" ref="D56:N56" si="16">D55/D24</f>
        <v>1.0426014832499806</v>
      </c>
      <c r="E56" s="72">
        <f t="shared" si="16"/>
        <v>1.0523773219082215</v>
      </c>
      <c r="F56" s="72">
        <f t="shared" si="16"/>
        <v>1.1550140070555774</v>
      </c>
      <c r="G56" s="72">
        <f t="shared" si="16"/>
        <v>0.78867589443872443</v>
      </c>
      <c r="H56" s="72">
        <f t="shared" si="16"/>
        <v>0.78384004666747131</v>
      </c>
      <c r="I56" s="72">
        <f t="shared" si="16"/>
        <v>0.62337287122458507</v>
      </c>
      <c r="J56" s="72">
        <f t="shared" si="16"/>
        <v>0.60705122096471453</v>
      </c>
      <c r="K56" s="72">
        <f t="shared" si="16"/>
        <v>0.77852070632363013</v>
      </c>
      <c r="L56" s="72">
        <f t="shared" si="16"/>
        <v>0.76362370958556658</v>
      </c>
      <c r="M56" s="72">
        <f t="shared" si="16"/>
        <v>0.68906776147629178</v>
      </c>
      <c r="N56" s="73">
        <f t="shared" si="16"/>
        <v>0.82693236714975848</v>
      </c>
      <c r="O56" s="74"/>
      <c r="P56" s="74"/>
    </row>
    <row r="57" spans="1:16" x14ac:dyDescent="0.25">
      <c r="A57" s="59"/>
      <c r="B57" s="60"/>
      <c r="C57" s="60"/>
      <c r="D57" s="60"/>
      <c r="E57" s="60"/>
      <c r="F57" s="60"/>
      <c r="G57" s="60"/>
      <c r="H57" s="60"/>
      <c r="I57" s="60"/>
      <c r="J57" s="60"/>
      <c r="K57" s="60"/>
      <c r="L57" s="60"/>
      <c r="M57" s="60"/>
      <c r="N57" s="56">
        <f t="shared" si="0"/>
        <v>0</v>
      </c>
    </row>
    <row r="58" spans="1:16" s="74" customFormat="1" ht="19.5" customHeight="1" x14ac:dyDescent="0.25">
      <c r="A58" s="54" t="s">
        <v>45</v>
      </c>
      <c r="B58" s="82">
        <f>+B24-B55</f>
        <v>-1777364.8344510579</v>
      </c>
      <c r="C58" s="82">
        <f t="shared" ref="C58:M58" si="17">+C24-C55</f>
        <v>413829.28930776194</v>
      </c>
      <c r="D58" s="82">
        <f t="shared" si="17"/>
        <v>-335671.09822984878</v>
      </c>
      <c r="E58" s="82">
        <f t="shared" si="17"/>
        <v>-425039.87855338957</v>
      </c>
      <c r="F58" s="82">
        <f t="shared" si="17"/>
        <v>-1146150.2736485265</v>
      </c>
      <c r="G58" s="82">
        <f t="shared" si="17"/>
        <v>2288275.6709302571</v>
      </c>
      <c r="H58" s="82">
        <f t="shared" si="17"/>
        <v>2355079.9800395072</v>
      </c>
      <c r="I58" s="82">
        <f t="shared" si="17"/>
        <v>5159665.7926797401</v>
      </c>
      <c r="J58" s="82">
        <f t="shared" si="17"/>
        <v>5722197.8750848006</v>
      </c>
      <c r="K58" s="82">
        <f t="shared" si="17"/>
        <v>2514868.185516471</v>
      </c>
      <c r="L58" s="82">
        <f t="shared" si="17"/>
        <v>2736382.3058841899</v>
      </c>
      <c r="M58" s="82">
        <f t="shared" si="17"/>
        <v>3988926.9854400977</v>
      </c>
      <c r="N58" s="83">
        <f t="shared" si="0"/>
        <v>21495000</v>
      </c>
      <c r="O58" s="48"/>
      <c r="P58" s="48"/>
    </row>
    <row r="59" spans="1:16" x14ac:dyDescent="0.25">
      <c r="A59" s="59" t="s">
        <v>46</v>
      </c>
      <c r="B59" s="55">
        <f t="shared" ref="B59:M59" si="18">0.3*B58</f>
        <v>-533209.45033531741</v>
      </c>
      <c r="C59" s="55">
        <f t="shared" si="18"/>
        <v>124148.78679232858</v>
      </c>
      <c r="D59" s="55">
        <f t="shared" si="18"/>
        <v>-100701.32946895463</v>
      </c>
      <c r="E59" s="55">
        <f t="shared" si="18"/>
        <v>-127511.96356601687</v>
      </c>
      <c r="F59" s="55">
        <f t="shared" si="18"/>
        <v>-343845.08209455793</v>
      </c>
      <c r="G59" s="55">
        <f t="shared" si="18"/>
        <v>686482.7012790771</v>
      </c>
      <c r="H59" s="55">
        <f t="shared" si="18"/>
        <v>706523.99401185208</v>
      </c>
      <c r="I59" s="55">
        <f t="shared" si="18"/>
        <v>1547899.737803922</v>
      </c>
      <c r="J59" s="55">
        <f t="shared" si="18"/>
        <v>1716659.3625254401</v>
      </c>
      <c r="K59" s="55">
        <f t="shared" si="18"/>
        <v>754460.45565494127</v>
      </c>
      <c r="L59" s="55">
        <f t="shared" si="18"/>
        <v>820914.69176525692</v>
      </c>
      <c r="M59" s="55">
        <f t="shared" si="18"/>
        <v>1196678.0956320292</v>
      </c>
      <c r="N59" s="84">
        <f t="shared" si="0"/>
        <v>6448500</v>
      </c>
    </row>
    <row r="60" spans="1:16" x14ac:dyDescent="0.25">
      <c r="A60" s="54" t="s">
        <v>47</v>
      </c>
      <c r="B60" s="85">
        <f t="shared" ref="B60:M60" si="19">B58-B59</f>
        <v>-1244155.3841157407</v>
      </c>
      <c r="C60" s="85">
        <f t="shared" si="19"/>
        <v>289680.50251543336</v>
      </c>
      <c r="D60" s="85">
        <f t="shared" si="19"/>
        <v>-234969.76876089413</v>
      </c>
      <c r="E60" s="85">
        <f t="shared" si="19"/>
        <v>-297527.9149873727</v>
      </c>
      <c r="F60" s="85">
        <f t="shared" si="19"/>
        <v>-802305.19155396859</v>
      </c>
      <c r="G60" s="85">
        <f t="shared" si="19"/>
        <v>1601792.9696511799</v>
      </c>
      <c r="H60" s="85">
        <f t="shared" si="19"/>
        <v>1648555.9860276552</v>
      </c>
      <c r="I60" s="85">
        <f t="shared" si="19"/>
        <v>3611766.0548758181</v>
      </c>
      <c r="J60" s="85">
        <f t="shared" si="19"/>
        <v>4005538.5125593608</v>
      </c>
      <c r="K60" s="85">
        <f t="shared" si="19"/>
        <v>1760407.7298615298</v>
      </c>
      <c r="L60" s="85">
        <f t="shared" si="19"/>
        <v>1915467.614118933</v>
      </c>
      <c r="M60" s="85">
        <f t="shared" si="19"/>
        <v>2792248.8898080685</v>
      </c>
      <c r="N60" s="83">
        <f t="shared" si="0"/>
        <v>15046500.000000004</v>
      </c>
    </row>
    <row r="61" spans="1:16" x14ac:dyDescent="0.25">
      <c r="A61" s="86" t="s">
        <v>109</v>
      </c>
      <c r="B61" s="87">
        <f>B60/B24</f>
        <v>-0.19326279792521461</v>
      </c>
      <c r="C61" s="87">
        <f>C60/C24</f>
        <v>3.3571240408520428E-2</v>
      </c>
      <c r="D61" s="87">
        <f t="shared" ref="D61:N61" si="20">D60/D24</f>
        <v>-2.9821038274986385E-2</v>
      </c>
      <c r="E61" s="87">
        <f t="shared" si="20"/>
        <v>-3.6664125335755068E-2</v>
      </c>
      <c r="F61" s="87">
        <f t="shared" si="20"/>
        <v>-0.10850980493890421</v>
      </c>
      <c r="G61" s="87">
        <f t="shared" si="20"/>
        <v>0.14792687389289286</v>
      </c>
      <c r="H61" s="87">
        <f t="shared" si="20"/>
        <v>0.15131196733277008</v>
      </c>
      <c r="I61" s="87">
        <f t="shared" si="20"/>
        <v>0.26363899014279046</v>
      </c>
      <c r="J61" s="87">
        <f t="shared" si="20"/>
        <v>0.27506414532469986</v>
      </c>
      <c r="K61" s="87">
        <f t="shared" si="20"/>
        <v>0.15503550557345888</v>
      </c>
      <c r="L61" s="87">
        <f t="shared" si="20"/>
        <v>0.16546340329010342</v>
      </c>
      <c r="M61" s="87">
        <f t="shared" si="20"/>
        <v>0.21765256696659577</v>
      </c>
      <c r="N61" s="88">
        <f t="shared" si="20"/>
        <v>0.12114734299516912</v>
      </c>
      <c r="O61" s="74"/>
      <c r="P61" s="74"/>
    </row>
    <row r="62" spans="1:16" x14ac:dyDescent="0.25">
      <c r="A62" s="89"/>
      <c r="B62" s="90"/>
      <c r="C62" s="90"/>
      <c r="D62" s="91"/>
      <c r="E62" s="91"/>
      <c r="F62" s="91"/>
      <c r="G62" s="91"/>
      <c r="H62" s="91"/>
      <c r="I62" s="91"/>
      <c r="J62" s="91"/>
      <c r="K62" s="91"/>
      <c r="L62" s="91"/>
      <c r="M62" s="91"/>
      <c r="N62" s="92"/>
      <c r="O62" s="91"/>
      <c r="P62" s="91"/>
    </row>
    <row r="63" spans="1:16" s="74" customFormat="1" ht="19.5" customHeight="1" x14ac:dyDescent="0.25">
      <c r="A63" s="49" t="s">
        <v>91</v>
      </c>
      <c r="B63" s="93"/>
      <c r="C63" s="93"/>
      <c r="D63" s="93"/>
      <c r="E63" s="93"/>
      <c r="F63" s="93"/>
      <c r="G63" s="93" t="s">
        <v>287</v>
      </c>
      <c r="H63" s="93"/>
      <c r="I63" s="93"/>
      <c r="J63" s="93"/>
      <c r="K63" s="93"/>
      <c r="L63" s="93"/>
      <c r="M63" s="93"/>
      <c r="N63" s="94"/>
      <c r="O63" s="95"/>
      <c r="P63" s="95"/>
    </row>
    <row r="64" spans="1:16" s="91" customFormat="1" x14ac:dyDescent="0.25">
      <c r="A64" s="49" t="s">
        <v>93</v>
      </c>
      <c r="B64" s="96"/>
      <c r="C64" s="96"/>
      <c r="D64" s="67"/>
      <c r="E64" s="67"/>
      <c r="F64" s="67"/>
      <c r="G64" s="67"/>
      <c r="H64" s="67"/>
      <c r="I64" s="67"/>
      <c r="J64" s="67"/>
      <c r="K64" s="67"/>
      <c r="L64" s="67"/>
      <c r="M64" s="67"/>
      <c r="N64" s="49"/>
      <c r="O64" s="67"/>
      <c r="P64" s="67"/>
    </row>
    <row r="65" spans="1:16" s="97" customFormat="1" ht="14" x14ac:dyDescent="0.25">
      <c r="A65" s="49" t="s">
        <v>94</v>
      </c>
      <c r="B65" s="96"/>
      <c r="C65" s="96"/>
      <c r="D65" s="67"/>
      <c r="E65" s="67"/>
      <c r="F65" s="67"/>
      <c r="G65" s="67"/>
      <c r="H65" s="67"/>
      <c r="I65" s="67"/>
      <c r="J65" s="67"/>
      <c r="K65" s="67"/>
      <c r="L65" s="67"/>
      <c r="M65" s="67"/>
      <c r="N65" s="49"/>
      <c r="O65" s="67"/>
      <c r="P65" s="67"/>
    </row>
    <row r="66" spans="1:16" s="98" customFormat="1" ht="14.25" customHeight="1" x14ac:dyDescent="0.3">
      <c r="A66" s="99"/>
      <c r="B66" s="100"/>
      <c r="C66" s="100"/>
      <c r="D66" s="48"/>
      <c r="E66" s="48"/>
      <c r="F66" s="48"/>
      <c r="G66" s="48"/>
      <c r="H66" s="48"/>
      <c r="I66" s="48"/>
      <c r="J66" s="48"/>
      <c r="K66" s="48"/>
      <c r="L66" s="48"/>
      <c r="M66" s="48"/>
      <c r="N66" s="99"/>
      <c r="O66" s="48"/>
      <c r="P66" s="48"/>
    </row>
    <row r="67" spans="1:16" s="98" customFormat="1" ht="14" x14ac:dyDescent="0.3">
      <c r="A67" s="47"/>
      <c r="B67" s="48"/>
      <c r="C67" s="48"/>
      <c r="D67" s="48"/>
      <c r="E67" s="48"/>
      <c r="F67" s="48"/>
      <c r="G67" s="48"/>
      <c r="H67" s="48"/>
      <c r="I67" s="48"/>
      <c r="J67" s="48"/>
      <c r="K67" s="48"/>
      <c r="L67" s="48"/>
      <c r="M67" s="48"/>
      <c r="N67" s="49"/>
      <c r="O67" s="48"/>
      <c r="P67" s="48"/>
    </row>
    <row r="68" spans="1:16" s="101" customFormat="1" ht="21" customHeight="1" x14ac:dyDescent="0.3">
      <c r="A68" s="51" t="s">
        <v>111</v>
      </c>
      <c r="B68" s="52" t="s">
        <v>118</v>
      </c>
      <c r="C68" s="52" t="s">
        <v>119</v>
      </c>
      <c r="D68" s="52" t="s">
        <v>120</v>
      </c>
      <c r="E68" s="52" t="s">
        <v>121</v>
      </c>
      <c r="F68" s="52" t="s">
        <v>117</v>
      </c>
      <c r="G68" s="52" t="s">
        <v>122</v>
      </c>
      <c r="H68" s="52" t="s">
        <v>123</v>
      </c>
      <c r="I68" s="52" t="s">
        <v>124</v>
      </c>
      <c r="J68" s="52" t="s">
        <v>125</v>
      </c>
      <c r="K68" s="52" t="s">
        <v>126</v>
      </c>
      <c r="L68" s="52" t="s">
        <v>127</v>
      </c>
      <c r="M68" s="52" t="s">
        <v>128</v>
      </c>
      <c r="N68" s="53" t="s">
        <v>0</v>
      </c>
      <c r="O68" s="48"/>
      <c r="P68" s="48"/>
    </row>
    <row r="69" spans="1:16" ht="25" x14ac:dyDescent="0.25">
      <c r="A69" s="62" t="s">
        <v>99</v>
      </c>
      <c r="B69" s="60"/>
      <c r="C69" s="60"/>
      <c r="D69" s="60"/>
      <c r="E69" s="60"/>
      <c r="F69" s="60"/>
      <c r="G69" s="60"/>
      <c r="H69" s="60"/>
      <c r="I69" s="60"/>
      <c r="J69" s="60"/>
      <c r="K69" s="60"/>
      <c r="L69" s="60"/>
      <c r="M69" s="60"/>
      <c r="N69" s="56"/>
    </row>
    <row r="70" spans="1:16" x14ac:dyDescent="0.25">
      <c r="A70" s="59" t="s">
        <v>98</v>
      </c>
      <c r="B70" s="55">
        <v>3066304.905253496</v>
      </c>
      <c r="C70" s="55">
        <v>5820623.0269535221</v>
      </c>
      <c r="D70" s="55">
        <v>4705896.8208963173</v>
      </c>
      <c r="E70" s="55">
        <v>4404815.363697811</v>
      </c>
      <c r="F70" s="55">
        <v>3587873.0294022965</v>
      </c>
      <c r="G70" s="55">
        <v>5761698.0492152441</v>
      </c>
      <c r="H70" s="55">
        <v>4795885.2534212936</v>
      </c>
      <c r="I70" s="55">
        <v>7392088.4786180872</v>
      </c>
      <c r="J70" s="55">
        <v>9398992.4625954516</v>
      </c>
      <c r="K70" s="55">
        <v>5564591.605080788</v>
      </c>
      <c r="L70" s="55">
        <v>4765352.8508513812</v>
      </c>
      <c r="M70" s="55">
        <v>6735878.1540143192</v>
      </c>
      <c r="N70" s="56">
        <f>SUM(B70:M70)</f>
        <v>66000000</v>
      </c>
    </row>
    <row r="71" spans="1:16" x14ac:dyDescent="0.25">
      <c r="A71" s="59" t="s">
        <v>97</v>
      </c>
      <c r="B71" s="55">
        <v>1115019.9655467256</v>
      </c>
      <c r="C71" s="55">
        <v>2116590.1916194628</v>
      </c>
      <c r="D71" s="55">
        <v>475293.07110044314</v>
      </c>
      <c r="E71" s="55">
        <v>444884.00437211269</v>
      </c>
      <c r="F71" s="55">
        <v>362373.26396337477</v>
      </c>
      <c r="G71" s="55">
        <v>581928.43251572899</v>
      </c>
      <c r="H71" s="55">
        <v>484381.85482990975</v>
      </c>
      <c r="I71" s="55">
        <v>746596.99703730526</v>
      </c>
      <c r="J71" s="55">
        <v>949293.22992382199</v>
      </c>
      <c r="K71" s="55">
        <v>562020.78669775045</v>
      </c>
      <c r="L71" s="55">
        <v>481298.09844131023</v>
      </c>
      <c r="M71" s="55">
        <v>680320.10395205952</v>
      </c>
      <c r="N71" s="56">
        <f>SUM(B71:M71)</f>
        <v>9000000.0000000056</v>
      </c>
    </row>
    <row r="72" spans="1:16" s="67" customFormat="1" x14ac:dyDescent="0.25">
      <c r="A72" s="102" t="s">
        <v>286</v>
      </c>
      <c r="D72" s="103">
        <v>1235942.1364982177</v>
      </c>
      <c r="E72" s="103">
        <v>1156867.036972546</v>
      </c>
      <c r="F72" s="103">
        <v>942307.83763746032</v>
      </c>
      <c r="G72" s="103">
        <v>1513234.4944716333</v>
      </c>
      <c r="H72" s="103">
        <v>1259576.4191414698</v>
      </c>
      <c r="I72" s="103">
        <v>1941435.1770056349</v>
      </c>
      <c r="J72" s="103">
        <v>2468522.2110199793</v>
      </c>
      <c r="K72" s="103">
        <v>1461467.0696952632</v>
      </c>
      <c r="L72" s="103">
        <v>1251557.4836864651</v>
      </c>
      <c r="M72" s="103">
        <v>1769090.133871329</v>
      </c>
      <c r="N72" s="56">
        <f>SUM(B72:M72)</f>
        <v>14999999.999999996</v>
      </c>
    </row>
    <row r="73" spans="1:16" x14ac:dyDescent="0.25">
      <c r="A73" s="47" t="s">
        <v>277</v>
      </c>
      <c r="B73" s="104">
        <f t="shared" ref="B73:L73" si="21">SUM(B70:B72)</f>
        <v>4181324.8708002213</v>
      </c>
      <c r="C73" s="104">
        <f t="shared" si="21"/>
        <v>7937213.2185729854</v>
      </c>
      <c r="D73" s="104">
        <f t="shared" si="21"/>
        <v>6417132.0284949774</v>
      </c>
      <c r="E73" s="104">
        <f t="shared" si="21"/>
        <v>6006566.4050424695</v>
      </c>
      <c r="F73" s="104">
        <f t="shared" si="21"/>
        <v>4892554.1310031321</v>
      </c>
      <c r="G73" s="104">
        <f t="shared" si="21"/>
        <v>7856860.9762026072</v>
      </c>
      <c r="H73" s="104">
        <f t="shared" si="21"/>
        <v>6539843.5273926724</v>
      </c>
      <c r="I73" s="104">
        <f t="shared" si="21"/>
        <v>10080120.652661027</v>
      </c>
      <c r="J73" s="104">
        <f t="shared" si="21"/>
        <v>12816807.903539253</v>
      </c>
      <c r="K73" s="104">
        <f t="shared" si="21"/>
        <v>7588079.4614738012</v>
      </c>
      <c r="L73" s="104">
        <f t="shared" si="21"/>
        <v>6498208.4329791563</v>
      </c>
      <c r="M73" s="104">
        <f>SUM(M70:M72)</f>
        <v>9185288.3918377087</v>
      </c>
      <c r="N73" s="105">
        <f>SUM(N70:N72)</f>
        <v>90000000</v>
      </c>
    </row>
    <row r="78" spans="1:16" ht="15" x14ac:dyDescent="0.3">
      <c r="A78" s="51" t="s">
        <v>111</v>
      </c>
      <c r="B78" s="106" t="s">
        <v>118</v>
      </c>
      <c r="C78" s="106" t="s">
        <v>119</v>
      </c>
      <c r="D78" s="106" t="s">
        <v>120</v>
      </c>
      <c r="E78" s="106" t="s">
        <v>121</v>
      </c>
      <c r="F78" s="106" t="s">
        <v>117</v>
      </c>
      <c r="G78" s="106" t="s">
        <v>122</v>
      </c>
      <c r="H78" s="106" t="s">
        <v>123</v>
      </c>
      <c r="I78" s="106" t="s">
        <v>124</v>
      </c>
      <c r="J78" s="106" t="s">
        <v>125</v>
      </c>
      <c r="K78" s="106" t="s">
        <v>126</v>
      </c>
      <c r="L78" s="106" t="s">
        <v>127</v>
      </c>
      <c r="M78" s="106" t="s">
        <v>128</v>
      </c>
      <c r="N78" s="106" t="s">
        <v>0</v>
      </c>
    </row>
    <row r="79" spans="1:16" x14ac:dyDescent="0.25">
      <c r="A79" s="107" t="s">
        <v>288</v>
      </c>
      <c r="B79" s="108"/>
      <c r="C79" s="108"/>
      <c r="D79" s="108"/>
      <c r="E79" s="108"/>
      <c r="F79" s="108"/>
      <c r="G79" s="108"/>
      <c r="H79" s="108"/>
      <c r="I79" s="108"/>
      <c r="J79" s="108"/>
      <c r="K79" s="108"/>
      <c r="L79" s="108"/>
      <c r="M79" s="108"/>
      <c r="N79" s="106"/>
    </row>
    <row r="80" spans="1:16" x14ac:dyDescent="0.25">
      <c r="A80" s="109" t="s">
        <v>1</v>
      </c>
      <c r="B80" s="110" t="s">
        <v>289</v>
      </c>
      <c r="C80" s="110" t="s">
        <v>289</v>
      </c>
      <c r="D80" s="110" t="s">
        <v>289</v>
      </c>
      <c r="E80" s="110" t="s">
        <v>289</v>
      </c>
      <c r="F80" s="110" t="s">
        <v>290</v>
      </c>
      <c r="G80" s="110" t="s">
        <v>289</v>
      </c>
      <c r="H80" s="110" t="s">
        <v>289</v>
      </c>
      <c r="I80" s="110" t="s">
        <v>289</v>
      </c>
      <c r="J80" s="110" t="s">
        <v>289</v>
      </c>
      <c r="K80" s="110" t="s">
        <v>289</v>
      </c>
      <c r="L80" s="110" t="s">
        <v>289</v>
      </c>
      <c r="M80" s="110" t="s">
        <v>289</v>
      </c>
      <c r="N80" s="111">
        <v>600000</v>
      </c>
    </row>
    <row r="81" spans="1:14" x14ac:dyDescent="0.25">
      <c r="A81" s="109" t="s">
        <v>291</v>
      </c>
      <c r="B81" s="110" t="s">
        <v>292</v>
      </c>
      <c r="C81" s="110" t="s">
        <v>292</v>
      </c>
      <c r="D81" s="110" t="s">
        <v>293</v>
      </c>
      <c r="E81" s="110" t="s">
        <v>292</v>
      </c>
      <c r="F81" s="110" t="s">
        <v>292</v>
      </c>
      <c r="G81" s="110" t="s">
        <v>292</v>
      </c>
      <c r="H81" s="110" t="s">
        <v>292</v>
      </c>
      <c r="I81" s="110" t="s">
        <v>292</v>
      </c>
      <c r="J81" s="110" t="s">
        <v>292</v>
      </c>
      <c r="K81" s="110" t="s">
        <v>292</v>
      </c>
      <c r="L81" s="110" t="s">
        <v>292</v>
      </c>
      <c r="M81" s="110" t="s">
        <v>292</v>
      </c>
      <c r="N81" s="111">
        <v>1900000</v>
      </c>
    </row>
    <row r="82" spans="1:14" x14ac:dyDescent="0.25">
      <c r="A82" s="109" t="s">
        <v>294</v>
      </c>
      <c r="B82" s="110" t="s">
        <v>295</v>
      </c>
      <c r="C82" s="110" t="s">
        <v>295</v>
      </c>
      <c r="D82" s="110" t="s">
        <v>295</v>
      </c>
      <c r="E82" s="110" t="s">
        <v>295</v>
      </c>
      <c r="F82" s="110" t="s">
        <v>295</v>
      </c>
      <c r="G82" s="110" t="s">
        <v>295</v>
      </c>
      <c r="H82" s="110" t="s">
        <v>295</v>
      </c>
      <c r="I82" s="110" t="s">
        <v>295</v>
      </c>
      <c r="J82" s="110" t="s">
        <v>295</v>
      </c>
      <c r="K82" s="110" t="s">
        <v>295</v>
      </c>
      <c r="L82" s="110" t="s">
        <v>295</v>
      </c>
      <c r="M82" s="110" t="s">
        <v>295</v>
      </c>
      <c r="N82" s="111">
        <v>2000000</v>
      </c>
    </row>
    <row r="83" spans="1:14" x14ac:dyDescent="0.25">
      <c r="A83" s="112" t="s">
        <v>296</v>
      </c>
      <c r="B83" s="113" t="s">
        <v>297</v>
      </c>
      <c r="C83" s="113" t="s">
        <v>297</v>
      </c>
      <c r="D83" s="113" t="s">
        <v>297</v>
      </c>
      <c r="E83" s="113" t="s">
        <v>297</v>
      </c>
      <c r="F83" s="113" t="s">
        <v>297</v>
      </c>
      <c r="G83" s="113" t="s">
        <v>297</v>
      </c>
      <c r="H83" s="113" t="s">
        <v>297</v>
      </c>
      <c r="I83" s="113" t="s">
        <v>297</v>
      </c>
      <c r="J83" s="113" t="s">
        <v>297</v>
      </c>
      <c r="K83" s="113" t="s">
        <v>297</v>
      </c>
      <c r="L83" s="113" t="s">
        <v>298</v>
      </c>
      <c r="M83" s="113" t="s">
        <v>297</v>
      </c>
      <c r="N83" s="114">
        <v>4500000</v>
      </c>
    </row>
  </sheetData>
  <mergeCells count="1">
    <mergeCell ref="B1:N1"/>
  </mergeCells>
  <printOptions horizontalCentered="1"/>
  <pageMargins left="0.15" right="0.59" top="0.81" bottom="0.5" header="0.23622047244094499" footer="0.15748031496063"/>
  <pageSetup paperSize="9" scale="66" orientation="landscape"/>
  <headerFooter>
    <oddHeader>&amp;C&amp;"Arial,Bold"&amp;12 Media Edge Interactive Limited
&amp;8 Profit &amp;&amp; Loss&amp;14 &amp;8Budget Overview
 January through Decembe&amp;10r 2012</oddHeader>
    <oddFooter>&amp;R&amp;"Arial,Bold"&amp;8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4"/>
  <sheetViews>
    <sheetView showGridLines="0" workbookViewId="0">
      <pane xSplit="1" ySplit="3" topLeftCell="B4" activePane="bottomRight" state="frozen"/>
      <selection pane="topRight"/>
      <selection pane="bottomLeft"/>
      <selection pane="bottomRight" activeCell="B8" sqref="B8"/>
    </sheetView>
  </sheetViews>
  <sheetFormatPr defaultColWidth="9.1796875" defaultRowHeight="12.5" x14ac:dyDescent="0.25"/>
  <cols>
    <col min="1" max="1" width="39.453125" style="100" customWidth="1"/>
    <col min="2" max="13" width="11" style="100" customWidth="1"/>
    <col min="14" max="14" width="15.26953125" style="96" customWidth="1"/>
    <col min="15" max="16384" width="9.1796875" style="100"/>
  </cols>
  <sheetData>
    <row r="1" spans="1:14" s="101" customFormat="1" ht="24.75" customHeight="1" x14ac:dyDescent="0.3">
      <c r="A1" s="588"/>
      <c r="B1" s="588"/>
      <c r="C1" s="588"/>
      <c r="D1" s="588"/>
      <c r="E1" s="588"/>
      <c r="F1" s="588"/>
      <c r="G1" s="588"/>
      <c r="H1" s="588"/>
      <c r="I1" s="588"/>
      <c r="J1" s="588"/>
      <c r="K1" s="588"/>
      <c r="L1" s="588"/>
      <c r="M1" s="588"/>
      <c r="N1" s="588"/>
    </row>
    <row r="2" spans="1:14" s="101" customFormat="1" ht="24.75" customHeight="1" x14ac:dyDescent="0.3">
      <c r="A2" s="115"/>
      <c r="B2" s="116"/>
      <c r="C2" s="116"/>
      <c r="D2" s="116"/>
      <c r="E2" s="116"/>
      <c r="F2" s="116"/>
      <c r="G2" s="116"/>
      <c r="H2" s="116"/>
      <c r="I2" s="116"/>
      <c r="J2" s="116"/>
      <c r="K2" s="116"/>
      <c r="L2" s="116"/>
      <c r="M2" s="116"/>
      <c r="N2" s="117"/>
    </row>
    <row r="3" spans="1:14" s="99" customFormat="1" ht="15" customHeight="1" x14ac:dyDescent="0.25">
      <c r="B3" s="118"/>
      <c r="C3" s="118"/>
      <c r="D3" s="118"/>
      <c r="E3" s="118"/>
      <c r="F3" s="118"/>
      <c r="G3" s="118"/>
      <c r="H3" s="118"/>
      <c r="I3" s="118"/>
      <c r="J3" s="118"/>
      <c r="K3" s="118"/>
      <c r="L3" s="118"/>
      <c r="M3" s="118"/>
      <c r="N3" s="119"/>
    </row>
    <row r="4" spans="1:14" ht="15" customHeight="1" x14ac:dyDescent="0.25">
      <c r="A4" s="120"/>
      <c r="B4" s="121"/>
      <c r="C4" s="121"/>
      <c r="D4" s="121"/>
      <c r="E4" s="121"/>
      <c r="F4" s="121"/>
      <c r="G4" s="121"/>
      <c r="H4" s="121"/>
      <c r="I4" s="121"/>
      <c r="J4" s="121"/>
      <c r="K4" s="121"/>
      <c r="L4" s="121"/>
      <c r="M4" s="121"/>
    </row>
    <row r="5" spans="1:14" s="48" customFormat="1" ht="15.75" customHeight="1" x14ac:dyDescent="0.25">
      <c r="A5" s="122"/>
      <c r="B5" s="123"/>
      <c r="C5" s="123"/>
      <c r="D5" s="123"/>
      <c r="E5" s="123"/>
      <c r="F5" s="123"/>
      <c r="G5" s="123"/>
      <c r="H5" s="123"/>
      <c r="I5" s="123"/>
      <c r="J5" s="123"/>
      <c r="K5" s="123"/>
      <c r="L5" s="123"/>
      <c r="M5" s="123"/>
      <c r="N5" s="124"/>
    </row>
    <row r="6" spans="1:14" s="48" customFormat="1" ht="30.75" customHeight="1" x14ac:dyDescent="0.25">
      <c r="A6" s="122"/>
      <c r="B6" s="123"/>
      <c r="C6" s="123"/>
      <c r="D6" s="123"/>
      <c r="E6" s="123"/>
      <c r="F6" s="123"/>
      <c r="G6" s="123"/>
      <c r="H6" s="123"/>
      <c r="I6" s="123"/>
      <c r="J6" s="123"/>
      <c r="K6" s="123"/>
      <c r="L6" s="123"/>
      <c r="M6" s="123"/>
      <c r="N6" s="124"/>
    </row>
    <row r="7" spans="1:14" s="96" customFormat="1" ht="15.75" customHeight="1" x14ac:dyDescent="0.25">
      <c r="A7" s="120"/>
      <c r="B7" s="125"/>
      <c r="C7" s="125"/>
      <c r="D7" s="125"/>
      <c r="E7" s="125"/>
      <c r="F7" s="125"/>
      <c r="G7" s="125"/>
      <c r="H7" s="125"/>
      <c r="I7" s="125"/>
      <c r="J7" s="125"/>
      <c r="K7" s="125"/>
      <c r="L7" s="125"/>
      <c r="M7" s="125"/>
      <c r="N7" s="124"/>
    </row>
    <row r="8" spans="1:14" ht="15" customHeight="1" x14ac:dyDescent="0.25">
      <c r="N8" s="126"/>
    </row>
    <row r="9" spans="1:14" ht="15" customHeight="1" x14ac:dyDescent="0.25">
      <c r="A9" s="96"/>
      <c r="B9" s="127"/>
      <c r="C9" s="127"/>
      <c r="D9" s="127"/>
      <c r="E9" s="127"/>
      <c r="F9" s="127"/>
      <c r="G9" s="127"/>
      <c r="H9" s="127"/>
      <c r="I9" s="127"/>
      <c r="J9" s="127"/>
      <c r="K9" s="127"/>
      <c r="L9" s="127"/>
      <c r="M9" s="127"/>
      <c r="N9" s="124"/>
    </row>
    <row r="10" spans="1:14" s="48" customFormat="1" ht="15.75" customHeight="1" x14ac:dyDescent="0.25">
      <c r="A10" s="122"/>
      <c r="B10" s="123"/>
      <c r="C10" s="123"/>
      <c r="D10" s="123"/>
      <c r="E10" s="123"/>
      <c r="F10" s="123"/>
      <c r="G10" s="123"/>
      <c r="H10" s="123"/>
      <c r="I10" s="123"/>
      <c r="J10" s="123"/>
      <c r="K10" s="123"/>
      <c r="L10" s="123"/>
      <c r="M10" s="123"/>
      <c r="N10" s="124"/>
    </row>
    <row r="11" spans="1:14" s="48" customFormat="1" ht="15.75" customHeight="1" x14ac:dyDescent="0.25">
      <c r="A11" s="122"/>
      <c r="B11" s="123"/>
      <c r="C11" s="123"/>
      <c r="D11" s="123"/>
      <c r="E11" s="123"/>
      <c r="F11" s="123"/>
      <c r="G11" s="123"/>
      <c r="H11" s="123"/>
      <c r="I11" s="123"/>
      <c r="J11" s="123"/>
      <c r="K11" s="123"/>
      <c r="L11" s="123"/>
      <c r="M11" s="123"/>
      <c r="N11" s="124"/>
    </row>
    <row r="12" spans="1:14" s="96" customFormat="1" ht="15.75" customHeight="1" x14ac:dyDescent="0.25">
      <c r="A12" s="120"/>
      <c r="B12" s="125"/>
      <c r="C12" s="125"/>
      <c r="D12" s="125"/>
      <c r="E12" s="125"/>
      <c r="F12" s="125"/>
      <c r="G12" s="125"/>
      <c r="H12" s="125"/>
      <c r="I12" s="125"/>
      <c r="J12" s="125"/>
      <c r="K12" s="125"/>
      <c r="L12" s="125"/>
      <c r="M12" s="125"/>
      <c r="N12" s="124"/>
    </row>
    <row r="13" spans="1:14" s="128" customFormat="1" ht="15" customHeight="1" x14ac:dyDescent="0.25">
      <c r="A13" s="129"/>
      <c r="B13" s="130"/>
      <c r="C13" s="130"/>
      <c r="D13" s="130"/>
      <c r="E13" s="130"/>
      <c r="F13" s="130"/>
      <c r="G13" s="130"/>
      <c r="H13" s="130"/>
      <c r="I13" s="130"/>
      <c r="J13" s="130"/>
      <c r="K13" s="130"/>
      <c r="L13" s="130"/>
      <c r="M13" s="130"/>
      <c r="N13" s="131"/>
    </row>
    <row r="14" spans="1:14" s="132" customFormat="1" ht="15" customHeight="1" x14ac:dyDescent="0.25">
      <c r="A14" s="96"/>
      <c r="B14" s="124"/>
      <c r="C14" s="124"/>
      <c r="D14" s="124"/>
      <c r="E14" s="124"/>
      <c r="F14" s="124"/>
      <c r="G14" s="124"/>
      <c r="H14" s="124"/>
      <c r="I14" s="124"/>
      <c r="J14" s="124"/>
      <c r="K14" s="124"/>
      <c r="L14" s="124"/>
      <c r="M14" s="124"/>
      <c r="N14" s="124"/>
    </row>
    <row r="15" spans="1:14" s="128" customFormat="1" ht="20.25" customHeight="1" x14ac:dyDescent="0.25">
      <c r="A15" s="129"/>
      <c r="B15" s="130"/>
      <c r="C15" s="130"/>
      <c r="D15" s="130"/>
      <c r="E15" s="130"/>
      <c r="F15" s="130"/>
      <c r="G15" s="130"/>
      <c r="H15" s="130"/>
      <c r="I15" s="130"/>
      <c r="J15" s="130"/>
      <c r="K15" s="130"/>
      <c r="L15" s="130"/>
      <c r="M15" s="130"/>
      <c r="N15" s="130"/>
    </row>
    <row r="16" spans="1:14" ht="15" customHeight="1" x14ac:dyDescent="0.25">
      <c r="A16" s="96"/>
      <c r="B16" s="133"/>
      <c r="C16" s="133"/>
      <c r="D16" s="133"/>
      <c r="E16" s="133"/>
      <c r="F16" s="133"/>
      <c r="G16" s="133"/>
      <c r="H16" s="133"/>
      <c r="I16" s="133"/>
      <c r="J16" s="133"/>
      <c r="K16" s="133"/>
      <c r="L16" s="133"/>
      <c r="M16" s="133"/>
      <c r="N16" s="124"/>
    </row>
    <row r="17" spans="1:14" s="48" customFormat="1" ht="15.75" customHeight="1" x14ac:dyDescent="0.25">
      <c r="A17" s="122"/>
      <c r="B17" s="123"/>
      <c r="C17" s="123"/>
      <c r="D17" s="123"/>
      <c r="E17" s="123"/>
      <c r="F17" s="123"/>
      <c r="G17" s="123"/>
      <c r="H17" s="123"/>
      <c r="I17" s="123"/>
      <c r="J17" s="123"/>
      <c r="K17" s="123"/>
      <c r="L17" s="123"/>
      <c r="M17" s="123"/>
      <c r="N17" s="124"/>
    </row>
    <row r="18" spans="1:14" s="48" customFormat="1" ht="15.75" customHeight="1" x14ac:dyDescent="0.25">
      <c r="A18" s="122"/>
      <c r="B18" s="123"/>
      <c r="C18" s="123"/>
      <c r="D18" s="123"/>
      <c r="E18" s="123"/>
      <c r="F18" s="123"/>
      <c r="G18" s="123"/>
      <c r="H18" s="123"/>
      <c r="I18" s="123"/>
      <c r="J18" s="123"/>
      <c r="K18" s="123"/>
      <c r="L18" s="123"/>
      <c r="M18" s="123"/>
      <c r="N18" s="124"/>
    </row>
    <row r="19" spans="1:14" s="48" customFormat="1" ht="15.75" customHeight="1" x14ac:dyDescent="0.25">
      <c r="A19" s="122"/>
      <c r="B19" s="123"/>
      <c r="C19" s="123"/>
      <c r="D19" s="123"/>
      <c r="E19" s="123"/>
      <c r="F19" s="123"/>
      <c r="G19" s="123"/>
      <c r="H19" s="123"/>
      <c r="I19" s="123"/>
      <c r="J19" s="123"/>
      <c r="K19" s="123"/>
      <c r="L19" s="123"/>
      <c r="M19" s="123"/>
      <c r="N19" s="124"/>
    </row>
    <row r="20" spans="1:14" s="48" customFormat="1" ht="15.75" customHeight="1" x14ac:dyDescent="0.25">
      <c r="A20" s="122"/>
      <c r="B20" s="123"/>
      <c r="C20" s="123"/>
      <c r="D20" s="123"/>
      <c r="E20" s="123"/>
      <c r="F20" s="123"/>
      <c r="G20" s="123"/>
      <c r="H20" s="123"/>
      <c r="I20" s="123"/>
      <c r="J20" s="123"/>
      <c r="K20" s="123"/>
      <c r="L20" s="123"/>
      <c r="M20" s="123"/>
      <c r="N20" s="124"/>
    </row>
    <row r="21" spans="1:14" s="48" customFormat="1" ht="15.75" customHeight="1" x14ac:dyDescent="0.25">
      <c r="A21" s="122"/>
      <c r="B21" s="123"/>
      <c r="C21" s="123"/>
      <c r="D21" s="123"/>
      <c r="E21" s="123"/>
      <c r="F21" s="123"/>
      <c r="G21" s="123"/>
      <c r="H21" s="123"/>
      <c r="I21" s="123"/>
      <c r="J21" s="123"/>
      <c r="K21" s="123"/>
      <c r="L21" s="123"/>
      <c r="M21" s="123"/>
      <c r="N21" s="124"/>
    </row>
    <row r="22" spans="1:14" s="48" customFormat="1" ht="15.75" customHeight="1" x14ac:dyDescent="0.25">
      <c r="A22" s="122"/>
      <c r="B22" s="123"/>
      <c r="C22" s="123"/>
      <c r="D22" s="123"/>
      <c r="E22" s="123"/>
      <c r="F22" s="123"/>
      <c r="G22" s="123"/>
      <c r="H22" s="123"/>
      <c r="I22" s="123"/>
      <c r="J22" s="123"/>
      <c r="K22" s="123"/>
      <c r="L22" s="123"/>
      <c r="M22" s="123"/>
      <c r="N22" s="124"/>
    </row>
    <row r="23" spans="1:14" s="48" customFormat="1" ht="15.75" customHeight="1" x14ac:dyDescent="0.25">
      <c r="A23" s="122"/>
      <c r="B23" s="123"/>
      <c r="C23" s="123"/>
      <c r="D23" s="123"/>
      <c r="E23" s="123"/>
      <c r="F23" s="123"/>
      <c r="G23" s="123"/>
      <c r="H23" s="123"/>
      <c r="I23" s="123"/>
      <c r="J23" s="123"/>
      <c r="K23" s="123"/>
      <c r="L23" s="123"/>
      <c r="M23" s="123"/>
      <c r="N23" s="124"/>
    </row>
    <row r="24" spans="1:14" s="48" customFormat="1" ht="15.75" customHeight="1" x14ac:dyDescent="0.25">
      <c r="A24" s="122"/>
      <c r="B24" s="123"/>
      <c r="C24" s="123"/>
      <c r="D24" s="123"/>
      <c r="E24" s="123"/>
      <c r="F24" s="123"/>
      <c r="G24" s="123"/>
      <c r="H24" s="123"/>
      <c r="I24" s="123"/>
      <c r="J24" s="123"/>
      <c r="K24" s="123"/>
      <c r="L24" s="123"/>
      <c r="M24" s="123"/>
      <c r="N24" s="124"/>
    </row>
    <row r="25" spans="1:14" s="48" customFormat="1" ht="15.75" customHeight="1" x14ac:dyDescent="0.25">
      <c r="A25" s="122"/>
      <c r="B25" s="123"/>
      <c r="C25" s="123"/>
      <c r="D25" s="123"/>
      <c r="E25" s="123"/>
      <c r="F25" s="123"/>
      <c r="G25" s="123"/>
      <c r="H25" s="123"/>
      <c r="I25" s="123"/>
      <c r="J25" s="123"/>
      <c r="K25" s="123"/>
      <c r="L25" s="123"/>
      <c r="M25" s="123"/>
      <c r="N25" s="124"/>
    </row>
    <row r="26" spans="1:14" s="48" customFormat="1" ht="15.75" customHeight="1" x14ac:dyDescent="0.25">
      <c r="A26" s="122"/>
      <c r="B26" s="123"/>
      <c r="C26" s="123"/>
      <c r="D26" s="123"/>
      <c r="E26" s="123"/>
      <c r="F26" s="123"/>
      <c r="G26" s="123"/>
      <c r="H26" s="123"/>
      <c r="I26" s="123"/>
      <c r="J26" s="123"/>
      <c r="K26" s="123"/>
      <c r="L26" s="123"/>
      <c r="M26" s="123"/>
      <c r="N26" s="124"/>
    </row>
    <row r="27" spans="1:14" s="48" customFormat="1" ht="15.75" customHeight="1" x14ac:dyDescent="0.25">
      <c r="A27" s="122"/>
      <c r="B27" s="123"/>
      <c r="C27" s="123"/>
      <c r="D27" s="123"/>
      <c r="E27" s="123"/>
      <c r="F27" s="123"/>
      <c r="G27" s="123"/>
      <c r="H27" s="123"/>
      <c r="I27" s="123"/>
      <c r="J27" s="123"/>
      <c r="K27" s="123"/>
      <c r="L27" s="123"/>
      <c r="M27" s="123"/>
      <c r="N27" s="124"/>
    </row>
    <row r="28" spans="1:14" s="48" customFormat="1" ht="15.75" customHeight="1" x14ac:dyDescent="0.25">
      <c r="A28" s="122"/>
      <c r="B28" s="123"/>
      <c r="C28" s="123"/>
      <c r="D28" s="123"/>
      <c r="E28" s="123"/>
      <c r="F28" s="123"/>
      <c r="G28" s="123"/>
      <c r="H28" s="123"/>
      <c r="I28" s="123"/>
      <c r="J28" s="123"/>
      <c r="K28" s="123"/>
      <c r="L28" s="123"/>
      <c r="M28" s="123"/>
      <c r="N28" s="124"/>
    </row>
    <row r="29" spans="1:14" s="48" customFormat="1" ht="15.75" customHeight="1" x14ac:dyDescent="0.25">
      <c r="A29" s="122"/>
      <c r="B29" s="123"/>
      <c r="C29" s="123"/>
      <c r="D29" s="123"/>
      <c r="E29" s="123"/>
      <c r="F29" s="123"/>
      <c r="G29" s="123"/>
      <c r="H29" s="123"/>
      <c r="I29" s="123"/>
      <c r="J29" s="123"/>
      <c r="K29" s="123"/>
      <c r="L29" s="123"/>
      <c r="M29" s="123"/>
      <c r="N29" s="124"/>
    </row>
    <row r="30" spans="1:14" s="48" customFormat="1" ht="15.75" customHeight="1" x14ac:dyDescent="0.25">
      <c r="A30" s="122"/>
      <c r="B30" s="123"/>
      <c r="C30" s="123"/>
      <c r="D30" s="123"/>
      <c r="E30" s="123"/>
      <c r="F30" s="123"/>
      <c r="G30" s="123"/>
      <c r="H30" s="123"/>
      <c r="I30" s="123"/>
      <c r="J30" s="123"/>
      <c r="K30" s="123"/>
      <c r="L30" s="123"/>
      <c r="M30" s="123"/>
      <c r="N30" s="124"/>
    </row>
    <row r="31" spans="1:14" s="48" customFormat="1" ht="15.75" customHeight="1" x14ac:dyDescent="0.25">
      <c r="A31" s="122"/>
      <c r="B31" s="123"/>
      <c r="C31" s="123"/>
      <c r="D31" s="123"/>
      <c r="E31" s="123"/>
      <c r="F31" s="123"/>
      <c r="G31" s="123"/>
      <c r="H31" s="123"/>
      <c r="I31" s="123"/>
      <c r="J31" s="123"/>
      <c r="K31" s="123"/>
      <c r="L31" s="123"/>
      <c r="M31" s="123"/>
      <c r="N31" s="124"/>
    </row>
    <row r="32" spans="1:14" s="48" customFormat="1" ht="15.75" customHeight="1" x14ac:dyDescent="0.25">
      <c r="A32" s="122"/>
      <c r="B32" s="123"/>
      <c r="C32" s="123"/>
      <c r="D32" s="123"/>
      <c r="E32" s="123"/>
      <c r="F32" s="123"/>
      <c r="G32" s="123"/>
      <c r="H32" s="123"/>
      <c r="I32" s="123"/>
      <c r="J32" s="123"/>
      <c r="K32" s="123"/>
      <c r="L32" s="123"/>
      <c r="M32" s="123"/>
      <c r="N32" s="124"/>
    </row>
    <row r="33" spans="1:14" s="48" customFormat="1" ht="15.75" customHeight="1" x14ac:dyDescent="0.25">
      <c r="A33" s="122"/>
      <c r="B33" s="123"/>
      <c r="C33" s="123"/>
      <c r="D33" s="123"/>
      <c r="E33" s="123"/>
      <c r="F33" s="123"/>
      <c r="G33" s="123"/>
      <c r="H33" s="123"/>
      <c r="I33" s="123"/>
      <c r="J33" s="123"/>
      <c r="K33" s="123"/>
      <c r="L33" s="123"/>
      <c r="M33" s="123"/>
      <c r="N33" s="124"/>
    </row>
    <row r="34" spans="1:14" s="48" customFormat="1" ht="15.75" customHeight="1" x14ac:dyDescent="0.25">
      <c r="A34" s="134"/>
      <c r="B34" s="123"/>
      <c r="C34" s="123"/>
      <c r="D34" s="123"/>
      <c r="E34" s="123"/>
      <c r="F34" s="123"/>
      <c r="G34" s="123"/>
      <c r="H34" s="123"/>
      <c r="I34" s="123"/>
      <c r="J34" s="123"/>
      <c r="K34" s="123"/>
      <c r="L34" s="123"/>
      <c r="M34" s="123"/>
      <c r="N34" s="124"/>
    </row>
    <row r="35" spans="1:14" s="48" customFormat="1" ht="15.75" customHeight="1" x14ac:dyDescent="0.25">
      <c r="A35" s="122"/>
      <c r="B35" s="123"/>
      <c r="C35" s="123"/>
      <c r="D35" s="123"/>
      <c r="E35" s="123"/>
      <c r="F35" s="123"/>
      <c r="G35" s="123"/>
      <c r="H35" s="123"/>
      <c r="I35" s="123"/>
      <c r="J35" s="123"/>
      <c r="K35" s="123"/>
      <c r="L35" s="123"/>
      <c r="M35" s="123"/>
      <c r="N35" s="124"/>
    </row>
    <row r="36" spans="1:14" s="78" customFormat="1" ht="15.75" hidden="1" customHeight="1" x14ac:dyDescent="0.25">
      <c r="A36" s="135"/>
      <c r="B36" s="136"/>
      <c r="C36" s="136"/>
      <c r="D36" s="136"/>
      <c r="E36" s="136"/>
      <c r="F36" s="136"/>
      <c r="G36" s="136"/>
      <c r="H36" s="136"/>
      <c r="I36" s="136"/>
      <c r="J36" s="136"/>
      <c r="K36" s="136"/>
      <c r="L36" s="136"/>
      <c r="M36" s="136"/>
      <c r="N36" s="137"/>
    </row>
    <row r="37" spans="1:14" s="48" customFormat="1" ht="15.75" customHeight="1" x14ac:dyDescent="0.25">
      <c r="A37" s="138"/>
      <c r="B37" s="123"/>
      <c r="C37" s="123"/>
      <c r="D37" s="123"/>
      <c r="E37" s="123"/>
      <c r="F37" s="123"/>
      <c r="G37" s="123"/>
      <c r="H37" s="123"/>
      <c r="I37" s="123"/>
      <c r="J37" s="123"/>
      <c r="K37" s="123"/>
      <c r="L37" s="123"/>
      <c r="M37" s="123"/>
      <c r="N37" s="124"/>
    </row>
    <row r="38" spans="1:14" s="48" customFormat="1" ht="15.75" customHeight="1" x14ac:dyDescent="0.25">
      <c r="A38" s="138"/>
      <c r="B38" s="123"/>
      <c r="C38" s="123"/>
      <c r="D38" s="123"/>
      <c r="E38" s="123"/>
      <c r="F38" s="123"/>
      <c r="G38" s="123"/>
      <c r="H38" s="123"/>
      <c r="I38" s="123"/>
      <c r="J38" s="123"/>
      <c r="K38" s="123"/>
      <c r="L38" s="123"/>
      <c r="M38" s="123"/>
      <c r="N38" s="124"/>
    </row>
    <row r="39" spans="1:14" s="48" customFormat="1" ht="15.75" customHeight="1" x14ac:dyDescent="0.25">
      <c r="A39" s="122"/>
      <c r="B39" s="123"/>
      <c r="C39" s="123"/>
      <c r="D39" s="123"/>
      <c r="E39" s="123"/>
      <c r="F39" s="123"/>
      <c r="G39" s="123"/>
      <c r="H39" s="123"/>
      <c r="I39" s="123"/>
      <c r="J39" s="123"/>
      <c r="K39" s="123"/>
      <c r="L39" s="123"/>
      <c r="M39" s="123"/>
      <c r="N39" s="124"/>
    </row>
    <row r="40" spans="1:14" s="48" customFormat="1" ht="15.75" customHeight="1" x14ac:dyDescent="0.25">
      <c r="A40" s="122"/>
      <c r="B40" s="123"/>
      <c r="C40" s="123"/>
      <c r="D40" s="123"/>
      <c r="E40" s="123"/>
      <c r="F40" s="123"/>
      <c r="G40" s="123"/>
      <c r="H40" s="123"/>
      <c r="I40" s="123"/>
      <c r="J40" s="123"/>
      <c r="K40" s="123"/>
      <c r="L40" s="123"/>
      <c r="M40" s="123"/>
      <c r="N40" s="124"/>
    </row>
    <row r="41" spans="1:14" s="48" customFormat="1" ht="15.75" customHeight="1" x14ac:dyDescent="0.25">
      <c r="A41" s="122"/>
      <c r="B41" s="123"/>
      <c r="C41" s="123"/>
      <c r="D41" s="123"/>
      <c r="E41" s="123"/>
      <c r="F41" s="123"/>
      <c r="G41" s="123"/>
      <c r="H41" s="123"/>
      <c r="I41" s="123"/>
      <c r="J41" s="123"/>
      <c r="K41" s="123"/>
      <c r="L41" s="123"/>
      <c r="M41" s="123"/>
      <c r="N41" s="124"/>
    </row>
    <row r="42" spans="1:14" s="48" customFormat="1" ht="15.75" customHeight="1" x14ac:dyDescent="0.25">
      <c r="A42" s="122"/>
      <c r="B42" s="123"/>
      <c r="C42" s="123"/>
      <c r="D42" s="123"/>
      <c r="E42" s="123"/>
      <c r="F42" s="123"/>
      <c r="G42" s="123"/>
      <c r="H42" s="123"/>
      <c r="I42" s="123"/>
      <c r="J42" s="123"/>
      <c r="K42" s="123"/>
      <c r="L42" s="123"/>
      <c r="M42" s="123"/>
      <c r="N42" s="124"/>
    </row>
    <row r="43" spans="1:14" s="48" customFormat="1" ht="15.75" customHeight="1" x14ac:dyDescent="0.25">
      <c r="A43" s="122"/>
      <c r="B43" s="123"/>
      <c r="C43" s="123"/>
      <c r="D43" s="123"/>
      <c r="E43" s="123"/>
      <c r="F43" s="123"/>
      <c r="G43" s="123"/>
      <c r="H43" s="123"/>
      <c r="I43" s="123"/>
      <c r="J43" s="123"/>
      <c r="K43" s="123"/>
      <c r="L43" s="123"/>
      <c r="M43" s="123"/>
      <c r="N43" s="124"/>
    </row>
    <row r="44" spans="1:14" s="48" customFormat="1" ht="15.75" customHeight="1" x14ac:dyDescent="0.25">
      <c r="A44" s="122"/>
      <c r="B44" s="123"/>
      <c r="C44" s="123"/>
      <c r="D44" s="123"/>
      <c r="E44" s="123"/>
      <c r="F44" s="123"/>
      <c r="G44" s="123"/>
      <c r="H44" s="123"/>
      <c r="I44" s="123"/>
      <c r="J44" s="123"/>
      <c r="K44" s="123"/>
      <c r="L44" s="123"/>
      <c r="M44" s="123"/>
      <c r="N44" s="124"/>
    </row>
    <row r="45" spans="1:14" ht="15" customHeight="1" x14ac:dyDescent="0.25">
      <c r="A45" s="139"/>
      <c r="B45" s="124"/>
      <c r="C45" s="124"/>
      <c r="D45" s="124"/>
      <c r="E45" s="124"/>
      <c r="F45" s="124"/>
      <c r="G45" s="124"/>
      <c r="H45" s="124"/>
      <c r="I45" s="124"/>
      <c r="J45" s="124"/>
      <c r="K45" s="124"/>
      <c r="L45" s="124"/>
      <c r="M45" s="124"/>
      <c r="N45" s="124"/>
    </row>
    <row r="46" spans="1:14" s="91" customFormat="1" ht="18.75" customHeight="1" x14ac:dyDescent="0.35">
      <c r="A46" s="89"/>
      <c r="B46" s="92"/>
      <c r="C46" s="92"/>
      <c r="D46" s="92"/>
      <c r="E46" s="92"/>
      <c r="F46" s="92"/>
      <c r="G46" s="92"/>
      <c r="H46" s="92"/>
      <c r="I46" s="92"/>
      <c r="J46" s="92"/>
      <c r="K46" s="92"/>
      <c r="L46" s="92"/>
      <c r="M46" s="92"/>
      <c r="N46" s="92"/>
    </row>
    <row r="47" spans="1:14" ht="15" customHeight="1" x14ac:dyDescent="0.25">
      <c r="A47" s="120"/>
      <c r="B47" s="124"/>
      <c r="C47" s="124"/>
      <c r="D47" s="124"/>
      <c r="E47" s="124"/>
      <c r="F47" s="124"/>
      <c r="G47" s="124"/>
      <c r="H47" s="124"/>
      <c r="I47" s="124"/>
      <c r="J47" s="124"/>
      <c r="K47" s="124"/>
      <c r="L47" s="124"/>
      <c r="M47" s="124"/>
      <c r="N47" s="124"/>
    </row>
    <row r="48" spans="1:14" ht="15" customHeight="1" x14ac:dyDescent="0.25">
      <c r="A48" s="140"/>
      <c r="B48" s="133"/>
      <c r="C48" s="133"/>
      <c r="D48" s="133"/>
      <c r="E48" s="133"/>
      <c r="F48" s="133"/>
      <c r="G48" s="133"/>
      <c r="H48" s="133"/>
      <c r="I48" s="133"/>
      <c r="J48" s="133"/>
      <c r="K48" s="133"/>
      <c r="L48" s="133"/>
      <c r="M48" s="133"/>
      <c r="N48" s="124"/>
    </row>
    <row r="49" spans="1:14" ht="15" customHeight="1" x14ac:dyDescent="0.25">
      <c r="L49" s="96"/>
      <c r="M49" s="96"/>
    </row>
    <row r="50" spans="1:14" ht="15" customHeight="1" x14ac:dyDescent="0.25">
      <c r="A50" s="120"/>
      <c r="B50" s="124"/>
      <c r="C50" s="124"/>
      <c r="D50" s="124"/>
      <c r="E50" s="124"/>
      <c r="F50" s="124"/>
      <c r="G50" s="124"/>
      <c r="H50" s="124"/>
      <c r="I50" s="124"/>
      <c r="J50" s="124"/>
      <c r="K50" s="124"/>
      <c r="L50" s="124"/>
      <c r="M50" s="124"/>
      <c r="N50" s="124"/>
    </row>
    <row r="51" spans="1:14" s="91" customFormat="1" ht="15" customHeight="1" x14ac:dyDescent="0.35">
      <c r="A51" s="89"/>
      <c r="B51" s="92"/>
      <c r="C51" s="92"/>
      <c r="D51" s="92"/>
      <c r="E51" s="92"/>
      <c r="F51" s="92"/>
      <c r="G51" s="92"/>
      <c r="H51" s="92"/>
      <c r="I51" s="92"/>
      <c r="J51" s="92"/>
      <c r="K51" s="92"/>
      <c r="L51" s="92"/>
      <c r="M51" s="92"/>
      <c r="N51" s="92"/>
    </row>
    <row r="52" spans="1:14" s="96" customFormat="1" ht="15" customHeight="1" x14ac:dyDescent="0.25">
      <c r="A52" s="49"/>
    </row>
    <row r="53" spans="1:14" s="96" customFormat="1" x14ac:dyDescent="0.25">
      <c r="A53" s="49"/>
    </row>
    <row r="54" spans="1:14" s="96" customFormat="1" x14ac:dyDescent="0.25">
      <c r="A54" s="49"/>
    </row>
  </sheetData>
  <mergeCells count="1">
    <mergeCell ref="A1:N1"/>
  </mergeCells>
  <printOptions horizontalCentered="1"/>
  <pageMargins left="0.19" right="1.02" top="0.49" bottom="0.35433070866141703" header="0.13" footer="0.31496062992126"/>
  <pageSetup paperSize="9" scale="55" orientation="landscape"/>
  <headerFooter>
    <oddHeader>&amp;C&amp;"Arial,Bold"&amp;12 PR COMPANY
&amp;14 Profit &amp;&amp; Loss Budget Overview
&amp;10 January through December 2011</oddHeader>
    <oddFooter>&amp;R&amp;"Arial,Bold"&amp;8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P59"/>
  <sheetViews>
    <sheetView showGridLines="0" zoomScale="88" workbookViewId="0">
      <pane xSplit="1" ySplit="4" topLeftCell="B32" activePane="bottomRight" state="frozen"/>
      <selection pane="topRight"/>
      <selection pane="bottomLeft"/>
      <selection pane="bottomRight" activeCell="S51" sqref="S51"/>
    </sheetView>
  </sheetViews>
  <sheetFormatPr defaultColWidth="9.1796875" defaultRowHeight="13.5" x14ac:dyDescent="0.25"/>
  <cols>
    <col min="1" max="1" width="49.1796875" style="141" customWidth="1"/>
    <col min="2" max="4" width="13.1796875" style="141" bestFit="1" customWidth="1"/>
    <col min="5" max="5" width="12.453125" style="141" bestFit="1" customWidth="1"/>
    <col min="6" max="9" width="13.1796875" style="141" bestFit="1" customWidth="1"/>
    <col min="10" max="11" width="13.453125" style="141" bestFit="1" customWidth="1"/>
    <col min="12" max="12" width="13.1796875" style="141" bestFit="1" customWidth="1"/>
    <col min="13" max="13" width="13.453125" style="141" bestFit="1" customWidth="1"/>
    <col min="14" max="14" width="17.54296875" style="101" customWidth="1"/>
    <col min="15" max="15" width="12.81640625" style="142" customWidth="1"/>
    <col min="16" max="16" width="14.26953125" style="141" customWidth="1"/>
    <col min="17" max="16384" width="9.1796875" style="141"/>
  </cols>
  <sheetData>
    <row r="2" spans="1:16" ht="16.5" customHeight="1" x14ac:dyDescent="0.3">
      <c r="A2" s="589" t="s">
        <v>76</v>
      </c>
      <c r="B2" s="589"/>
      <c r="C2" s="589"/>
      <c r="D2" s="589"/>
      <c r="E2" s="589"/>
      <c r="F2" s="589"/>
      <c r="G2" s="589"/>
      <c r="H2" s="589"/>
      <c r="I2" s="589"/>
      <c r="J2" s="589"/>
      <c r="K2" s="589"/>
      <c r="L2" s="589"/>
      <c r="M2" s="589"/>
      <c r="N2" s="589"/>
      <c r="O2" s="143"/>
    </row>
    <row r="3" spans="1:16" ht="16.5" customHeight="1" x14ac:dyDescent="0.3">
      <c r="A3" s="115" t="s">
        <v>112</v>
      </c>
      <c r="B3" s="144"/>
      <c r="C3" s="144"/>
      <c r="D3" s="144"/>
      <c r="E3" s="144"/>
      <c r="F3" s="144"/>
      <c r="G3" s="144"/>
      <c r="H3" s="144"/>
      <c r="I3" s="144"/>
      <c r="J3" s="144"/>
      <c r="K3" s="144"/>
      <c r="L3" s="144"/>
      <c r="M3" s="144"/>
      <c r="N3" s="145"/>
      <c r="O3" s="146"/>
      <c r="P3" s="117"/>
    </row>
    <row r="4" spans="1:16" s="147" customFormat="1" ht="16.5" customHeight="1" x14ac:dyDescent="0.25">
      <c r="A4" s="140"/>
      <c r="B4" s="148">
        <v>40544</v>
      </c>
      <c r="C4" s="148">
        <v>40575</v>
      </c>
      <c r="D4" s="148">
        <v>40603</v>
      </c>
      <c r="E4" s="148">
        <v>40634</v>
      </c>
      <c r="F4" s="148">
        <v>40664</v>
      </c>
      <c r="G4" s="148">
        <v>40695</v>
      </c>
      <c r="H4" s="148">
        <v>40725</v>
      </c>
      <c r="I4" s="148">
        <v>40756</v>
      </c>
      <c r="J4" s="148">
        <v>40787</v>
      </c>
      <c r="K4" s="148">
        <v>40817</v>
      </c>
      <c r="L4" s="148">
        <v>40848</v>
      </c>
      <c r="M4" s="148">
        <v>40878</v>
      </c>
      <c r="N4" s="149" t="s">
        <v>0</v>
      </c>
      <c r="O4" s="150" t="s">
        <v>90</v>
      </c>
      <c r="P4" s="151" t="s">
        <v>96</v>
      </c>
    </row>
    <row r="5" spans="1:16" s="147" customFormat="1" ht="16.5" customHeight="1" x14ac:dyDescent="0.25">
      <c r="A5" s="120" t="s">
        <v>104</v>
      </c>
      <c r="B5" s="152"/>
      <c r="C5" s="152"/>
      <c r="D5" s="152"/>
      <c r="E5" s="152"/>
      <c r="F5" s="152"/>
      <c r="G5" s="152"/>
      <c r="H5" s="152"/>
      <c r="I5" s="152"/>
      <c r="J5" s="152"/>
      <c r="K5" s="152"/>
      <c r="L5" s="152"/>
      <c r="M5" s="152"/>
      <c r="N5" s="153"/>
      <c r="O5" s="154"/>
      <c r="P5" s="155"/>
    </row>
    <row r="6" spans="1:16" s="147" customFormat="1" ht="16.5" customHeight="1" x14ac:dyDescent="0.25">
      <c r="A6" s="156" t="s">
        <v>74</v>
      </c>
      <c r="B6" s="55">
        <f>+'MEIL 2012 Budget (Orig)'!B15</f>
        <v>0</v>
      </c>
      <c r="C6" s="55">
        <f>+'MEIL 2012 Budget (Orig)'!C15</f>
        <v>0</v>
      </c>
      <c r="D6" s="55">
        <f>+'MEIL 2012 Budget (Orig)'!D15</f>
        <v>0</v>
      </c>
      <c r="E6" s="55">
        <f>+'MEIL 2012 Budget (Orig)'!E15</f>
        <v>0</v>
      </c>
      <c r="F6" s="55">
        <f>+'MEIL 2012 Budget (Orig)'!F15</f>
        <v>0</v>
      </c>
      <c r="G6" s="55">
        <f>+'MEIL 2012 Budget (Orig)'!G15</f>
        <v>0</v>
      </c>
      <c r="H6" s="55">
        <f>+'MEIL 2012 Budget (Orig)'!H15</f>
        <v>0</v>
      </c>
      <c r="I6" s="55">
        <f>+'MEIL 2012 Budget (Orig)'!I15</f>
        <v>0</v>
      </c>
      <c r="J6" s="55">
        <f>+'MEIL 2012 Budget (Orig)'!J15</f>
        <v>0</v>
      </c>
      <c r="K6" s="55">
        <f>+'MEIL 2012 Budget (Orig)'!K15</f>
        <v>0</v>
      </c>
      <c r="L6" s="55">
        <f>+'MEIL 2012 Budget (Orig)'!L15</f>
        <v>0</v>
      </c>
      <c r="M6" s="55">
        <f>+'MEIL 2012 Budget (Orig)'!M15</f>
        <v>0</v>
      </c>
      <c r="N6" s="56">
        <f>SUM(B6:M6)</f>
        <v>0</v>
      </c>
      <c r="O6" s="157">
        <v>-9600000</v>
      </c>
      <c r="P6" s="70">
        <f>N6+O6</f>
        <v>-9600000</v>
      </c>
    </row>
    <row r="7" spans="1:16" s="147" customFormat="1" ht="16.5" customHeight="1" x14ac:dyDescent="0.25">
      <c r="A7" s="156" t="s">
        <v>75</v>
      </c>
      <c r="B7" s="55">
        <f>'OCK 2012 Budget'!B8</f>
        <v>1774489</v>
      </c>
      <c r="C7" s="55">
        <f>'OCK 2012 Budget'!C8</f>
        <v>1774489</v>
      </c>
      <c r="D7" s="55">
        <f>'OCK 2012 Budget'!D8</f>
        <v>1774489</v>
      </c>
      <c r="E7" s="55">
        <f>'OCK 2012 Budget'!E8</f>
        <v>2150656</v>
      </c>
      <c r="F7" s="55">
        <f>'OCK 2012 Budget'!F8</f>
        <v>2150656</v>
      </c>
      <c r="G7" s="55">
        <f>'OCK 2012 Budget'!G8</f>
        <v>2150656</v>
      </c>
      <c r="H7" s="55">
        <f>'OCK 2012 Budget'!H8</f>
        <v>2635532</v>
      </c>
      <c r="I7" s="55">
        <f>'OCK 2012 Budget'!I8</f>
        <v>2635532</v>
      </c>
      <c r="J7" s="55">
        <f>'OCK 2012 Budget'!J8</f>
        <v>2635532</v>
      </c>
      <c r="K7" s="55">
        <f>'OCK 2012 Budget'!K8</f>
        <v>2999323</v>
      </c>
      <c r="L7" s="55">
        <f>'OCK 2012 Budget'!L8</f>
        <v>2999323</v>
      </c>
      <c r="M7" s="55">
        <f>'OCK 2012 Budget'!M8</f>
        <v>2999323</v>
      </c>
      <c r="N7" s="56">
        <f>SUM(B7:M7)</f>
        <v>28680000</v>
      </c>
      <c r="O7" s="157"/>
      <c r="P7" s="70">
        <f>N7+O7</f>
        <v>28680000</v>
      </c>
    </row>
    <row r="8" spans="1:16" s="147" customFormat="1" ht="16.5" customHeight="1" x14ac:dyDescent="0.25">
      <c r="A8" s="156" t="s">
        <v>130</v>
      </c>
      <c r="B8" s="55">
        <f>+'PR Company'!B7</f>
        <v>0</v>
      </c>
      <c r="C8" s="55">
        <f>+'PR Company'!C7</f>
        <v>0</v>
      </c>
      <c r="D8" s="55">
        <f>+'PR Company'!D7</f>
        <v>0</v>
      </c>
      <c r="E8" s="55">
        <f>+'PR Company'!E7</f>
        <v>0</v>
      </c>
      <c r="F8" s="55">
        <f>+'PR Company'!F7</f>
        <v>0</v>
      </c>
      <c r="G8" s="55">
        <f>+'PR Company'!G7</f>
        <v>0</v>
      </c>
      <c r="H8" s="55">
        <f>+'PR Company'!H7</f>
        <v>0</v>
      </c>
      <c r="I8" s="55">
        <f>+'PR Company'!I7</f>
        <v>0</v>
      </c>
      <c r="J8" s="55">
        <f>+'PR Company'!J7</f>
        <v>0</v>
      </c>
      <c r="K8" s="55">
        <f>+'PR Company'!K7</f>
        <v>0</v>
      </c>
      <c r="L8" s="55">
        <f>+'PR Company'!L7</f>
        <v>0</v>
      </c>
      <c r="M8" s="55">
        <f>+'PR Company'!M7</f>
        <v>0</v>
      </c>
      <c r="N8" s="56">
        <f>SUM(B8:M8)</f>
        <v>0</v>
      </c>
      <c r="O8" s="157"/>
      <c r="P8" s="70"/>
    </row>
    <row r="9" spans="1:16" s="147" customFormat="1" ht="16.5" customHeight="1" x14ac:dyDescent="0.25">
      <c r="A9" s="120" t="s">
        <v>40</v>
      </c>
      <c r="B9" s="158">
        <f>SUM(B6:B8)</f>
        <v>1774489</v>
      </c>
      <c r="C9" s="158">
        <f t="shared" ref="C9:M9" si="0">SUM(C6:C8)</f>
        <v>1774489</v>
      </c>
      <c r="D9" s="158">
        <f t="shared" si="0"/>
        <v>1774489</v>
      </c>
      <c r="E9" s="158">
        <f t="shared" si="0"/>
        <v>2150656</v>
      </c>
      <c r="F9" s="158">
        <f t="shared" si="0"/>
        <v>2150656</v>
      </c>
      <c r="G9" s="158">
        <f t="shared" si="0"/>
        <v>2150656</v>
      </c>
      <c r="H9" s="158">
        <f t="shared" si="0"/>
        <v>2635532</v>
      </c>
      <c r="I9" s="158">
        <f t="shared" si="0"/>
        <v>2635532</v>
      </c>
      <c r="J9" s="158">
        <f t="shared" si="0"/>
        <v>2635532</v>
      </c>
      <c r="K9" s="158">
        <f t="shared" si="0"/>
        <v>2999323</v>
      </c>
      <c r="L9" s="158">
        <f t="shared" si="0"/>
        <v>2999323</v>
      </c>
      <c r="M9" s="158">
        <f t="shared" si="0"/>
        <v>2999323</v>
      </c>
      <c r="N9" s="159">
        <f>SUM(N6:N8)</f>
        <v>28680000</v>
      </c>
      <c r="O9" s="160">
        <f>SUM(O6:O7)</f>
        <v>-9600000</v>
      </c>
      <c r="P9" s="158">
        <f>N9+O9</f>
        <v>19080000</v>
      </c>
    </row>
    <row r="10" spans="1:16" s="147" customFormat="1" ht="16.5" customHeight="1" x14ac:dyDescent="0.25">
      <c r="A10" s="120" t="s">
        <v>43</v>
      </c>
      <c r="B10" s="152"/>
      <c r="C10" s="161"/>
      <c r="D10" s="152"/>
      <c r="E10" s="152"/>
      <c r="F10" s="152"/>
      <c r="G10" s="152"/>
      <c r="H10" s="152"/>
      <c r="I10" s="152"/>
      <c r="J10" s="152"/>
      <c r="K10" s="152"/>
      <c r="L10" s="152"/>
      <c r="M10" s="152"/>
      <c r="N10" s="153"/>
      <c r="O10" s="154"/>
      <c r="P10" s="155">
        <f t="shared" ref="P10:P16" si="1">N10+O10</f>
        <v>0</v>
      </c>
    </row>
    <row r="11" spans="1:16" s="147" customFormat="1" ht="16.5" customHeight="1" x14ac:dyDescent="0.25">
      <c r="A11" s="156" t="s">
        <v>74</v>
      </c>
      <c r="B11" s="55">
        <f>+'MEIL 2012 Budget (Orig)'!B24</f>
        <v>6437635.1655489421</v>
      </c>
      <c r="C11" s="55">
        <f>+'MEIL 2012 Budget (Orig)'!C24</f>
        <v>8628829.2893077619</v>
      </c>
      <c r="D11" s="55">
        <f>+'MEIL 2012 Budget (Orig)'!D24</f>
        <v>7879328.9017701512</v>
      </c>
      <c r="E11" s="55">
        <f>+'MEIL 2012 Budget (Orig)'!E24</f>
        <v>8114960.1214466104</v>
      </c>
      <c r="F11" s="55">
        <f>+'MEIL 2012 Budget (Orig)'!F24</f>
        <v>7393849.7263514735</v>
      </c>
      <c r="G11" s="55">
        <f>+'MEIL 2012 Budget (Orig)'!G24</f>
        <v>10828275.670930257</v>
      </c>
      <c r="H11" s="55">
        <f>+'MEIL 2012 Budget (Orig)'!H24</f>
        <v>10895079.980039507</v>
      </c>
      <c r="I11" s="55">
        <f>+'MEIL 2012 Budget (Orig)'!I24</f>
        <v>13699665.79267974</v>
      </c>
      <c r="J11" s="55">
        <f>+'MEIL 2012 Budget (Orig)'!J24</f>
        <v>14562197.875084801</v>
      </c>
      <c r="K11" s="55">
        <f>+'MEIL 2012 Budget (Orig)'!K24</f>
        <v>11354868.185516471</v>
      </c>
      <c r="L11" s="55">
        <f>+'MEIL 2012 Budget (Orig)'!L24</f>
        <v>11576382.30588419</v>
      </c>
      <c r="M11" s="55">
        <f>+'MEIL 2012 Budget (Orig)'!M24</f>
        <v>12828926.985440098</v>
      </c>
      <c r="N11" s="56">
        <f>SUM(B11:M11)</f>
        <v>124200000.00000003</v>
      </c>
      <c r="O11" s="157"/>
      <c r="P11" s="70">
        <f t="shared" si="1"/>
        <v>124200000.00000003</v>
      </c>
    </row>
    <row r="12" spans="1:16" s="147" customFormat="1" ht="16.5" customHeight="1" x14ac:dyDescent="0.25">
      <c r="A12" s="156" t="s">
        <v>75</v>
      </c>
      <c r="B12" s="55">
        <f>'OCK 2012 Budget'!B15</f>
        <v>592718.60000000009</v>
      </c>
      <c r="C12" s="55">
        <f>'OCK 2012 Budget'!C15</f>
        <v>592718.60000000009</v>
      </c>
      <c r="D12" s="55">
        <f>'OCK 2012 Budget'!D15</f>
        <v>592718.60000000009</v>
      </c>
      <c r="E12" s="55">
        <f>'OCK 2012 Budget'!E15</f>
        <v>672300</v>
      </c>
      <c r="F12" s="55">
        <f>'OCK 2012 Budget'!F15</f>
        <v>672300</v>
      </c>
      <c r="G12" s="55">
        <f>'OCK 2012 Budget'!G15</f>
        <v>672300</v>
      </c>
      <c r="H12" s="55">
        <f>'OCK 2012 Budget'!H15</f>
        <v>817106.8</v>
      </c>
      <c r="I12" s="55">
        <f>'OCK 2012 Budget'!I15</f>
        <v>817106.8</v>
      </c>
      <c r="J12" s="55">
        <f>'OCK 2012 Budget'!J15</f>
        <v>817106.8</v>
      </c>
      <c r="K12" s="55">
        <f>'OCK 2012 Budget'!K15</f>
        <v>903874.60000000009</v>
      </c>
      <c r="L12" s="55">
        <f>'OCK 2012 Budget'!L15</f>
        <v>903874.60000000009</v>
      </c>
      <c r="M12" s="55">
        <f>'OCK 2012 Budget'!M15</f>
        <v>903874.60000000009</v>
      </c>
      <c r="N12" s="56">
        <f>SUM(B12:M12)</f>
        <v>8958000</v>
      </c>
      <c r="O12" s="157"/>
      <c r="P12" s="70">
        <f t="shared" si="1"/>
        <v>8958000</v>
      </c>
    </row>
    <row r="13" spans="1:16" s="147" customFormat="1" ht="16.5" customHeight="1" x14ac:dyDescent="0.25">
      <c r="A13" s="156" t="s">
        <v>130</v>
      </c>
      <c r="B13" s="55">
        <f>+'PR Company'!B12</f>
        <v>0</v>
      </c>
      <c r="C13" s="55">
        <f>+'PR Company'!C12</f>
        <v>0</v>
      </c>
      <c r="D13" s="55">
        <f>+'PR Company'!D12</f>
        <v>0</v>
      </c>
      <c r="E13" s="55">
        <f>+'PR Company'!E12</f>
        <v>0</v>
      </c>
      <c r="F13" s="55">
        <f>+'PR Company'!F12</f>
        <v>0</v>
      </c>
      <c r="G13" s="55">
        <f>+'PR Company'!G12</f>
        <v>0</v>
      </c>
      <c r="H13" s="55">
        <f>+'PR Company'!H12</f>
        <v>0</v>
      </c>
      <c r="I13" s="55">
        <f>+'PR Company'!I12</f>
        <v>0</v>
      </c>
      <c r="J13" s="55">
        <f>+'PR Company'!J12</f>
        <v>0</v>
      </c>
      <c r="K13" s="55">
        <f>+'PR Company'!K12</f>
        <v>0</v>
      </c>
      <c r="L13" s="55">
        <f>+'PR Company'!L12</f>
        <v>0</v>
      </c>
      <c r="M13" s="55">
        <f>+'PR Company'!M12</f>
        <v>0</v>
      </c>
      <c r="N13" s="56">
        <f>SUM(B13:M13)</f>
        <v>0</v>
      </c>
      <c r="O13" s="157"/>
      <c r="P13" s="70"/>
    </row>
    <row r="14" spans="1:16" s="147" customFormat="1" ht="16.5" customHeight="1" x14ac:dyDescent="0.25">
      <c r="A14" s="120" t="s">
        <v>44</v>
      </c>
      <c r="B14" s="64">
        <f>SUM(B11:B13)</f>
        <v>7030353.7655489426</v>
      </c>
      <c r="C14" s="64">
        <f t="shared" ref="C14:N14" si="2">SUM(C11:C13)</f>
        <v>9221547.8893077616</v>
      </c>
      <c r="D14" s="64">
        <f t="shared" si="2"/>
        <v>8472047.5017701518</v>
      </c>
      <c r="E14" s="64">
        <f t="shared" si="2"/>
        <v>8787260.1214466095</v>
      </c>
      <c r="F14" s="64">
        <f t="shared" si="2"/>
        <v>8066149.7263514735</v>
      </c>
      <c r="G14" s="64">
        <f t="shared" si="2"/>
        <v>11500575.670930257</v>
      </c>
      <c r="H14" s="64">
        <f t="shared" si="2"/>
        <v>11712186.780039508</v>
      </c>
      <c r="I14" s="64">
        <f t="shared" si="2"/>
        <v>14516772.592679741</v>
      </c>
      <c r="J14" s="64">
        <f t="shared" si="2"/>
        <v>15379304.675084801</v>
      </c>
      <c r="K14" s="64">
        <f t="shared" si="2"/>
        <v>12258742.785516471</v>
      </c>
      <c r="L14" s="64">
        <f t="shared" si="2"/>
        <v>12480256.90588419</v>
      </c>
      <c r="M14" s="64">
        <f t="shared" si="2"/>
        <v>13732801.585440097</v>
      </c>
      <c r="N14" s="65">
        <f t="shared" si="2"/>
        <v>133158000.00000003</v>
      </c>
      <c r="O14" s="162"/>
      <c r="P14" s="64">
        <f t="shared" si="1"/>
        <v>133158000.00000003</v>
      </c>
    </row>
    <row r="15" spans="1:16" s="147" customFormat="1" ht="16.5" customHeight="1" x14ac:dyDescent="0.25">
      <c r="A15" s="89"/>
      <c r="B15" s="163"/>
      <c r="C15" s="163"/>
      <c r="D15" s="163"/>
      <c r="E15" s="163"/>
      <c r="F15" s="163"/>
      <c r="G15" s="163"/>
      <c r="H15" s="163"/>
      <c r="I15" s="163"/>
      <c r="J15" s="163"/>
      <c r="K15" s="163"/>
      <c r="L15" s="163"/>
      <c r="M15" s="163"/>
      <c r="N15" s="163"/>
      <c r="O15" s="164"/>
      <c r="P15" s="165"/>
    </row>
    <row r="16" spans="1:16" s="147" customFormat="1" ht="16.5" customHeight="1" x14ac:dyDescent="0.25">
      <c r="A16" s="120" t="s">
        <v>41</v>
      </c>
      <c r="B16" s="64">
        <f>B9-B14</f>
        <v>-5255864.7655489426</v>
      </c>
      <c r="C16" s="64">
        <f t="shared" ref="C16:O16" si="3">C9-C14</f>
        <v>-7447058.8893077616</v>
      </c>
      <c r="D16" s="64">
        <f t="shared" si="3"/>
        <v>-6697558.5017701518</v>
      </c>
      <c r="E16" s="64">
        <f t="shared" si="3"/>
        <v>-6636604.1214466095</v>
      </c>
      <c r="F16" s="64">
        <f t="shared" si="3"/>
        <v>-5915493.7263514735</v>
      </c>
      <c r="G16" s="64">
        <f t="shared" si="3"/>
        <v>-9349919.6709302571</v>
      </c>
      <c r="H16" s="64">
        <f t="shared" si="3"/>
        <v>-9076654.7800395079</v>
      </c>
      <c r="I16" s="64">
        <f t="shared" si="3"/>
        <v>-11881240.592679741</v>
      </c>
      <c r="J16" s="64">
        <f t="shared" si="3"/>
        <v>-12743772.675084801</v>
      </c>
      <c r="K16" s="64">
        <f t="shared" si="3"/>
        <v>-9259419.7855164707</v>
      </c>
      <c r="L16" s="64">
        <f t="shared" si="3"/>
        <v>-9480933.9058841895</v>
      </c>
      <c r="M16" s="64">
        <f t="shared" si="3"/>
        <v>-10733478.585440097</v>
      </c>
      <c r="N16" s="65">
        <f t="shared" si="3"/>
        <v>-104478000.00000003</v>
      </c>
      <c r="O16" s="162">
        <f t="shared" si="3"/>
        <v>-9600000</v>
      </c>
      <c r="P16" s="64">
        <f t="shared" si="1"/>
        <v>-114078000.00000003</v>
      </c>
    </row>
    <row r="17" spans="1:16" s="147" customFormat="1" ht="16.5" customHeight="1" x14ac:dyDescent="0.25">
      <c r="A17" s="89" t="s">
        <v>42</v>
      </c>
      <c r="B17" s="163">
        <f>B16/B9</f>
        <v>-2.961903266545435</v>
      </c>
      <c r="C17" s="163">
        <f t="shared" ref="C17:P17" si="4">C16/C9</f>
        <v>-4.1967343214343744</v>
      </c>
      <c r="D17" s="163">
        <f t="shared" si="4"/>
        <v>-3.7743589854713959</v>
      </c>
      <c r="E17" s="163">
        <f t="shared" si="4"/>
        <v>-3.0858510712297131</v>
      </c>
      <c r="F17" s="163">
        <f t="shared" si="4"/>
        <v>-2.7505531923057305</v>
      </c>
      <c r="G17" s="163">
        <f t="shared" si="4"/>
        <v>-4.3474733620487225</v>
      </c>
      <c r="H17" s="163">
        <f t="shared" si="4"/>
        <v>-3.4439554443047959</v>
      </c>
      <c r="I17" s="163">
        <f t="shared" si="4"/>
        <v>-4.5080995384156752</v>
      </c>
      <c r="J17" s="163">
        <f t="shared" si="4"/>
        <v>-4.8353701169573355</v>
      </c>
      <c r="K17" s="163">
        <f t="shared" si="4"/>
        <v>-3.0871699331870794</v>
      </c>
      <c r="L17" s="163">
        <f t="shared" si="4"/>
        <v>-3.1610246398551238</v>
      </c>
      <c r="M17" s="163">
        <f t="shared" si="4"/>
        <v>-3.5786337735015858</v>
      </c>
      <c r="N17" s="163">
        <f t="shared" si="4"/>
        <v>-3.6428870292887039</v>
      </c>
      <c r="O17" s="164"/>
      <c r="P17" s="163">
        <f t="shared" si="4"/>
        <v>-5.9789308176100642</v>
      </c>
    </row>
    <row r="18" spans="1:16" s="147" customFormat="1" ht="16.5" customHeight="1" x14ac:dyDescent="0.25">
      <c r="A18" s="120" t="s">
        <v>11</v>
      </c>
      <c r="B18" s="60"/>
      <c r="C18" s="60"/>
      <c r="D18" s="60"/>
      <c r="E18" s="60"/>
      <c r="F18" s="60"/>
      <c r="G18" s="60"/>
      <c r="H18" s="60"/>
      <c r="I18" s="60"/>
      <c r="J18" s="60"/>
      <c r="K18" s="60"/>
      <c r="L18" s="60"/>
      <c r="M18" s="60"/>
      <c r="N18" s="56"/>
      <c r="O18" s="157"/>
      <c r="P18" s="70"/>
    </row>
    <row r="19" spans="1:16" s="147" customFormat="1" ht="16.5" customHeight="1" x14ac:dyDescent="0.25">
      <c r="A19" s="140" t="s">
        <v>52</v>
      </c>
      <c r="B19" s="55">
        <f>+'MEIL 2012 Budget (Orig)'!B29+'OCK 2012 Budget'!B20+'PR Company'!B17</f>
        <v>25833.333333333332</v>
      </c>
      <c r="C19" s="55">
        <f>+'MEIL 2012 Budget (Orig)'!C29+'OCK 2012 Budget'!C20+'PR Company'!C17</f>
        <v>25833.333333333332</v>
      </c>
      <c r="D19" s="55">
        <f>+'MEIL 2012 Budget (Orig)'!D29+'OCK 2012 Budget'!D20+'PR Company'!D17</f>
        <v>25833.333333333332</v>
      </c>
      <c r="E19" s="55">
        <f>+'MEIL 2012 Budget (Orig)'!E29+'OCK 2012 Budget'!E20+'PR Company'!E17</f>
        <v>25833.333333333332</v>
      </c>
      <c r="F19" s="55">
        <f>+'MEIL 2012 Budget (Orig)'!F29+'OCK 2012 Budget'!F20+'PR Company'!F17</f>
        <v>25833.333333333332</v>
      </c>
      <c r="G19" s="55">
        <f>+'MEIL 2012 Budget (Orig)'!G29+'OCK 2012 Budget'!G20+'PR Company'!G17</f>
        <v>25833.333333333332</v>
      </c>
      <c r="H19" s="55">
        <f>+'MEIL 2012 Budget (Orig)'!H29+'OCK 2012 Budget'!H20+'PR Company'!H17</f>
        <v>25833.333333333332</v>
      </c>
      <c r="I19" s="55">
        <f>+'MEIL 2012 Budget (Orig)'!I29+'OCK 2012 Budget'!I20+'PR Company'!I17</f>
        <v>25833.333333333332</v>
      </c>
      <c r="J19" s="55">
        <f>+'MEIL 2012 Budget (Orig)'!J29+'OCK 2012 Budget'!J20+'PR Company'!J17</f>
        <v>25833.333333333332</v>
      </c>
      <c r="K19" s="55">
        <f>+'MEIL 2012 Budget (Orig)'!K29+'OCK 2012 Budget'!K20+'PR Company'!K17</f>
        <v>25833.333333333332</v>
      </c>
      <c r="L19" s="55">
        <f>+'MEIL 2012 Budget (Orig)'!L29+'OCK 2012 Budget'!L20+'PR Company'!L17</f>
        <v>25833.333333333332</v>
      </c>
      <c r="M19" s="55">
        <f>+'MEIL 2012 Budget (Orig)'!M29+'OCK 2012 Budget'!M20+'PR Company'!M17</f>
        <v>25833.333333333332</v>
      </c>
      <c r="N19" s="56">
        <f t="shared" ref="N19:N47" si="5">SUM(B19:M19)</f>
        <v>310000</v>
      </c>
      <c r="O19" s="157"/>
      <c r="P19" s="70">
        <f>N19-O19</f>
        <v>310000</v>
      </c>
    </row>
    <row r="20" spans="1:16" s="147" customFormat="1" ht="16.5" customHeight="1" x14ac:dyDescent="0.25">
      <c r="A20" s="140" t="s">
        <v>12</v>
      </c>
      <c r="B20" s="55">
        <f>+'MEIL 2012 Budget (Orig)'!B30+'OCK 2012 Budget'!B21+'PR Company'!B18</f>
        <v>30000</v>
      </c>
      <c r="C20" s="55">
        <f>+'MEIL 2012 Budget (Orig)'!C30+'OCK 2012 Budget'!C21+'PR Company'!C18</f>
        <v>30000</v>
      </c>
      <c r="D20" s="55">
        <f>+'MEIL 2012 Budget (Orig)'!D30+'OCK 2012 Budget'!D21+'PR Company'!D18</f>
        <v>30000</v>
      </c>
      <c r="E20" s="55">
        <f>+'MEIL 2012 Budget (Orig)'!E30+'OCK 2012 Budget'!E21+'PR Company'!E18</f>
        <v>30000</v>
      </c>
      <c r="F20" s="55">
        <f>+'MEIL 2012 Budget (Orig)'!F30+'OCK 2012 Budget'!F21+'PR Company'!F18</f>
        <v>30000</v>
      </c>
      <c r="G20" s="55">
        <f>+'MEIL 2012 Budget (Orig)'!G30+'OCK 2012 Budget'!G21+'PR Company'!G18</f>
        <v>30000</v>
      </c>
      <c r="H20" s="55">
        <f>+'MEIL 2012 Budget (Orig)'!H30+'OCK 2012 Budget'!H21+'PR Company'!H18</f>
        <v>30000</v>
      </c>
      <c r="I20" s="55">
        <f>+'MEIL 2012 Budget (Orig)'!I30+'OCK 2012 Budget'!I21+'PR Company'!I18</f>
        <v>30000</v>
      </c>
      <c r="J20" s="55">
        <f>+'MEIL 2012 Budget (Orig)'!J30+'OCK 2012 Budget'!J21+'PR Company'!J18</f>
        <v>30000</v>
      </c>
      <c r="K20" s="55">
        <f>+'MEIL 2012 Budget (Orig)'!K30+'OCK 2012 Budget'!K21+'PR Company'!K18</f>
        <v>30000</v>
      </c>
      <c r="L20" s="55">
        <f>+'MEIL 2012 Budget (Orig)'!L30+'OCK 2012 Budget'!L21+'PR Company'!L18</f>
        <v>30000</v>
      </c>
      <c r="M20" s="55">
        <f>+'MEIL 2012 Budget (Orig)'!M30+'OCK 2012 Budget'!M21+'PR Company'!M18</f>
        <v>30000</v>
      </c>
      <c r="N20" s="56">
        <f t="shared" si="5"/>
        <v>360000</v>
      </c>
      <c r="O20" s="157">
        <v>96000</v>
      </c>
      <c r="P20" s="70">
        <f t="shared" ref="P20:P47" si="6">N20-O20</f>
        <v>264000</v>
      </c>
    </row>
    <row r="21" spans="1:16" s="147" customFormat="1" ht="16.5" customHeight="1" x14ac:dyDescent="0.25">
      <c r="A21" s="140" t="s">
        <v>13</v>
      </c>
      <c r="B21" s="55">
        <f>+'MEIL 2012 Budget (Orig)'!B31+'OCK 2012 Budget'!B22+'PR Company'!B19</f>
        <v>21666.666666666668</v>
      </c>
      <c r="C21" s="55">
        <f>+'MEIL 2012 Budget (Orig)'!C31+'OCK 2012 Budget'!C22+'PR Company'!C19</f>
        <v>21666.666666666668</v>
      </c>
      <c r="D21" s="55">
        <f>+'MEIL 2012 Budget (Orig)'!D31+'OCK 2012 Budget'!D22+'PR Company'!D19</f>
        <v>21666.666666666668</v>
      </c>
      <c r="E21" s="55">
        <f>+'MEIL 2012 Budget (Orig)'!E31+'OCK 2012 Budget'!E22+'PR Company'!E19</f>
        <v>21666.666666666668</v>
      </c>
      <c r="F21" s="55">
        <f>+'MEIL 2012 Budget (Orig)'!F31+'OCK 2012 Budget'!F22+'PR Company'!F19</f>
        <v>21666.666666666668</v>
      </c>
      <c r="G21" s="55">
        <f>+'MEIL 2012 Budget (Orig)'!G31+'OCK 2012 Budget'!G22+'PR Company'!G19</f>
        <v>21666.666666666668</v>
      </c>
      <c r="H21" s="55">
        <f>+'MEIL 2012 Budget (Orig)'!H31+'OCK 2012 Budget'!H22+'PR Company'!H19</f>
        <v>21666.666666666668</v>
      </c>
      <c r="I21" s="55">
        <f>+'MEIL 2012 Budget (Orig)'!I31+'OCK 2012 Budget'!I22+'PR Company'!I19</f>
        <v>21666.666666666668</v>
      </c>
      <c r="J21" s="55">
        <f>+'MEIL 2012 Budget (Orig)'!J31+'OCK 2012 Budget'!J22+'PR Company'!J19</f>
        <v>21666.666666666668</v>
      </c>
      <c r="K21" s="55">
        <f>+'MEIL 2012 Budget (Orig)'!K31+'OCK 2012 Budget'!K22+'PR Company'!K19</f>
        <v>21666.666666666668</v>
      </c>
      <c r="L21" s="55">
        <f>+'MEIL 2012 Budget (Orig)'!L31+'OCK 2012 Budget'!L22+'PR Company'!L19</f>
        <v>21666.666666666668</v>
      </c>
      <c r="M21" s="55">
        <f>+'MEIL 2012 Budget (Orig)'!M31+'OCK 2012 Budget'!M22+'PR Company'!M19</f>
        <v>21666.666666666668</v>
      </c>
      <c r="N21" s="56">
        <f t="shared" si="5"/>
        <v>259999.99999999997</v>
      </c>
      <c r="O21" s="157">
        <v>84000</v>
      </c>
      <c r="P21" s="70">
        <f t="shared" si="6"/>
        <v>175999.99999999997</v>
      </c>
    </row>
    <row r="22" spans="1:16" s="147" customFormat="1" ht="16.5" customHeight="1" x14ac:dyDescent="0.25">
      <c r="A22" s="140" t="s">
        <v>1</v>
      </c>
      <c r="B22" s="55">
        <f>+'MEIL 2012 Budget (Orig)'!B32+'OCK 2012 Budget'!B23+'PR Company'!B20</f>
        <v>63333.333333333336</v>
      </c>
      <c r="C22" s="55">
        <f>+'MEIL 2012 Budget (Orig)'!C32+'OCK 2012 Budget'!C23+'PR Company'!C20</f>
        <v>63333.333333333336</v>
      </c>
      <c r="D22" s="55">
        <f>+'MEIL 2012 Budget (Orig)'!D32+'OCK 2012 Budget'!D23+'PR Company'!D20</f>
        <v>63333.333333333336</v>
      </c>
      <c r="E22" s="55">
        <f>+'MEIL 2012 Budget (Orig)'!E32+'OCK 2012 Budget'!E23+'PR Company'!E20</f>
        <v>63333.333333333336</v>
      </c>
      <c r="F22" s="55">
        <f>+'MEIL 2012 Budget (Orig)'!F32+'OCK 2012 Budget'!F23+'PR Company'!F20</f>
        <v>63333.333333333336</v>
      </c>
      <c r="G22" s="55">
        <f>+'MEIL 2012 Budget (Orig)'!G32+'OCK 2012 Budget'!G23+'PR Company'!G20</f>
        <v>63333.333333333336</v>
      </c>
      <c r="H22" s="55">
        <f>+'MEIL 2012 Budget (Orig)'!H32+'OCK 2012 Budget'!H23+'PR Company'!H20</f>
        <v>63333.333333333336</v>
      </c>
      <c r="I22" s="55">
        <f>+'MEIL 2012 Budget (Orig)'!I32+'OCK 2012 Budget'!I23+'PR Company'!I20</f>
        <v>63333.333333333336</v>
      </c>
      <c r="J22" s="55">
        <f>+'MEIL 2012 Budget (Orig)'!J32+'OCK 2012 Budget'!J23+'PR Company'!J20</f>
        <v>63333.333333333336</v>
      </c>
      <c r="K22" s="55">
        <f>+'MEIL 2012 Budget (Orig)'!K32+'OCK 2012 Budget'!K23+'PR Company'!K20</f>
        <v>63333.333333333336</v>
      </c>
      <c r="L22" s="55">
        <f>+'MEIL 2012 Budget (Orig)'!L32+'OCK 2012 Budget'!L23+'PR Company'!L20</f>
        <v>63333.333333333336</v>
      </c>
      <c r="M22" s="55">
        <f>+'MEIL 2012 Budget (Orig)'!M32+'OCK 2012 Budget'!M23+'PR Company'!M20</f>
        <v>63333.333333333336</v>
      </c>
      <c r="N22" s="56">
        <f t="shared" si="5"/>
        <v>760000.00000000012</v>
      </c>
      <c r="O22" s="157">
        <v>204000</v>
      </c>
      <c r="P22" s="70">
        <f t="shared" si="6"/>
        <v>556000.00000000012</v>
      </c>
    </row>
    <row r="23" spans="1:16" s="147" customFormat="1" ht="16.5" customHeight="1" x14ac:dyDescent="0.25">
      <c r="A23" s="140" t="s">
        <v>57</v>
      </c>
      <c r="B23" s="55">
        <f>+'MEIL 2012 Budget (Orig)'!B33+'OCK 2012 Budget'!B24+'PR Company'!B21</f>
        <v>105000</v>
      </c>
      <c r="C23" s="55">
        <f>+'MEIL 2012 Budget (Orig)'!C33+'OCK 2012 Budget'!C24+'PR Company'!C21</f>
        <v>105000</v>
      </c>
      <c r="D23" s="55">
        <f>+'MEIL 2012 Budget (Orig)'!D33+'OCK 2012 Budget'!D24+'PR Company'!D21</f>
        <v>105000</v>
      </c>
      <c r="E23" s="55">
        <f>+'MEIL 2012 Budget (Orig)'!E33+'OCK 2012 Budget'!E24+'PR Company'!E21</f>
        <v>105000</v>
      </c>
      <c r="F23" s="55">
        <f>+'MEIL 2012 Budget (Orig)'!F33+'OCK 2012 Budget'!F24+'PR Company'!F21</f>
        <v>105000</v>
      </c>
      <c r="G23" s="55">
        <f>+'MEIL 2012 Budget (Orig)'!G33+'OCK 2012 Budget'!G24+'PR Company'!G21</f>
        <v>105000</v>
      </c>
      <c r="H23" s="55">
        <f>+'MEIL 2012 Budget (Orig)'!H33+'OCK 2012 Budget'!H24+'PR Company'!H21</f>
        <v>105000</v>
      </c>
      <c r="I23" s="55">
        <f>+'MEIL 2012 Budget (Orig)'!I33+'OCK 2012 Budget'!I24+'PR Company'!I21</f>
        <v>105000</v>
      </c>
      <c r="J23" s="55">
        <f>+'MEIL 2012 Budget (Orig)'!J33+'OCK 2012 Budget'!J24+'PR Company'!J21</f>
        <v>105000</v>
      </c>
      <c r="K23" s="55">
        <f>+'MEIL 2012 Budget (Orig)'!K33+'OCK 2012 Budget'!K24+'PR Company'!K21</f>
        <v>105000</v>
      </c>
      <c r="L23" s="55">
        <f>+'MEIL 2012 Budget (Orig)'!L33+'OCK 2012 Budget'!L24+'PR Company'!L21</f>
        <v>105000</v>
      </c>
      <c r="M23" s="55">
        <f>+'MEIL 2012 Budget (Orig)'!M33+'OCK 2012 Budget'!M24+'PR Company'!M21</f>
        <v>105000</v>
      </c>
      <c r="N23" s="56">
        <f t="shared" si="5"/>
        <v>1260000</v>
      </c>
      <c r="O23" s="157">
        <v>120000</v>
      </c>
      <c r="P23" s="70">
        <f t="shared" si="6"/>
        <v>1140000</v>
      </c>
    </row>
    <row r="24" spans="1:16" s="147" customFormat="1" ht="16.5" customHeight="1" x14ac:dyDescent="0.25">
      <c r="A24" s="140" t="s">
        <v>15</v>
      </c>
      <c r="B24" s="55">
        <f>+'MEIL 2012 Budget (Orig)'!B34+'OCK 2012 Budget'!B25+'PR Company'!B22</f>
        <v>10000</v>
      </c>
      <c r="C24" s="55">
        <f>+'MEIL 2012 Budget (Orig)'!C34+'OCK 2012 Budget'!C25+'PR Company'!C22</f>
        <v>10000</v>
      </c>
      <c r="D24" s="55">
        <f>+'MEIL 2012 Budget (Orig)'!D34+'OCK 2012 Budget'!D25+'PR Company'!D22</f>
        <v>10000</v>
      </c>
      <c r="E24" s="55">
        <f>+'MEIL 2012 Budget (Orig)'!E34+'OCK 2012 Budget'!E25+'PR Company'!E22</f>
        <v>10000</v>
      </c>
      <c r="F24" s="55">
        <f>+'MEIL 2012 Budget (Orig)'!F34+'OCK 2012 Budget'!F25+'PR Company'!F22</f>
        <v>10000</v>
      </c>
      <c r="G24" s="55">
        <f>+'MEIL 2012 Budget (Orig)'!G34+'OCK 2012 Budget'!G25+'PR Company'!G22</f>
        <v>10000</v>
      </c>
      <c r="H24" s="55">
        <f>+'MEIL 2012 Budget (Orig)'!H34+'OCK 2012 Budget'!H25+'PR Company'!H22</f>
        <v>10000</v>
      </c>
      <c r="I24" s="55">
        <f>+'MEIL 2012 Budget (Orig)'!I34+'OCK 2012 Budget'!I25+'PR Company'!I22</f>
        <v>10000</v>
      </c>
      <c r="J24" s="55">
        <f>+'MEIL 2012 Budget (Orig)'!J34+'OCK 2012 Budget'!J25+'PR Company'!J22</f>
        <v>10000</v>
      </c>
      <c r="K24" s="55">
        <f>+'MEIL 2012 Budget (Orig)'!K34+'OCK 2012 Budget'!K25+'PR Company'!K22</f>
        <v>10000</v>
      </c>
      <c r="L24" s="55">
        <f>+'MEIL 2012 Budget (Orig)'!L34+'OCK 2012 Budget'!L25+'PR Company'!L22</f>
        <v>10000</v>
      </c>
      <c r="M24" s="55">
        <f>+'MEIL 2012 Budget (Orig)'!M34+'OCK 2012 Budget'!M25+'PR Company'!M22</f>
        <v>10000</v>
      </c>
      <c r="N24" s="56">
        <f t="shared" si="5"/>
        <v>120000</v>
      </c>
      <c r="O24" s="157">
        <v>240000</v>
      </c>
      <c r="P24" s="70">
        <f t="shared" si="6"/>
        <v>-120000</v>
      </c>
    </row>
    <row r="25" spans="1:16" s="147" customFormat="1" ht="16.5" customHeight="1" x14ac:dyDescent="0.25">
      <c r="A25" s="140" t="s">
        <v>2</v>
      </c>
      <c r="B25" s="55">
        <f>+'MEIL 2012 Budget (Orig)'!B35+'OCK 2012 Budget'!B26+'PR Company'!B23</f>
        <v>52500</v>
      </c>
      <c r="C25" s="55">
        <f>+'MEIL 2012 Budget (Orig)'!C35+'OCK 2012 Budget'!C26+'PR Company'!C23</f>
        <v>52500</v>
      </c>
      <c r="D25" s="55">
        <f>+'MEIL 2012 Budget (Orig)'!D35+'OCK 2012 Budget'!D26+'PR Company'!D23</f>
        <v>52500</v>
      </c>
      <c r="E25" s="55">
        <f>+'MEIL 2012 Budget (Orig)'!E35+'OCK 2012 Budget'!E26+'PR Company'!E23</f>
        <v>52500</v>
      </c>
      <c r="F25" s="55">
        <f>+'MEIL 2012 Budget (Orig)'!F35+'OCK 2012 Budget'!F26+'PR Company'!F23</f>
        <v>52500</v>
      </c>
      <c r="G25" s="55">
        <f>+'MEIL 2012 Budget (Orig)'!G35+'OCK 2012 Budget'!G26+'PR Company'!G23</f>
        <v>52500</v>
      </c>
      <c r="H25" s="55">
        <f>+'MEIL 2012 Budget (Orig)'!H35+'OCK 2012 Budget'!H26+'PR Company'!H23</f>
        <v>52500</v>
      </c>
      <c r="I25" s="55">
        <f>+'MEIL 2012 Budget (Orig)'!I35+'OCK 2012 Budget'!I26+'PR Company'!I23</f>
        <v>52500</v>
      </c>
      <c r="J25" s="55">
        <f>+'MEIL 2012 Budget (Orig)'!J35+'OCK 2012 Budget'!J26+'PR Company'!J23</f>
        <v>52500</v>
      </c>
      <c r="K25" s="55">
        <f>+'MEIL 2012 Budget (Orig)'!K35+'OCK 2012 Budget'!K26+'PR Company'!K23</f>
        <v>52500</v>
      </c>
      <c r="L25" s="55">
        <f>+'MEIL 2012 Budget (Orig)'!L35+'OCK 2012 Budget'!L26+'PR Company'!L23</f>
        <v>52500</v>
      </c>
      <c r="M25" s="55">
        <f>+'MEIL 2012 Budget (Orig)'!M35+'OCK 2012 Budget'!M26+'PR Company'!M23</f>
        <v>52500</v>
      </c>
      <c r="N25" s="56">
        <f t="shared" si="5"/>
        <v>630000</v>
      </c>
      <c r="O25" s="157">
        <v>480000</v>
      </c>
      <c r="P25" s="70">
        <f t="shared" si="6"/>
        <v>150000</v>
      </c>
    </row>
    <row r="26" spans="1:16" s="100" customFormat="1" ht="16.5" customHeight="1" x14ac:dyDescent="0.25">
      <c r="A26" s="140" t="s">
        <v>92</v>
      </c>
      <c r="B26" s="55">
        <f>+'MEIL 2012 Budget (Orig)'!B47+'OCK 2012 Budget'!B38</f>
        <v>800000</v>
      </c>
      <c r="C26" s="55">
        <f>+'MEIL 2012 Budget (Orig)'!C47+'OCK 2012 Budget'!C38+'PR Company'!C35</f>
        <v>800000</v>
      </c>
      <c r="D26" s="55">
        <f>+'MEIL 2012 Budget (Orig)'!D47+'OCK 2012 Budget'!D38+'PR Company'!D35</f>
        <v>800000</v>
      </c>
      <c r="E26" s="55">
        <f>+'MEIL 2012 Budget (Orig)'!E47+'OCK 2012 Budget'!E38+'PR Company'!E35</f>
        <v>800000</v>
      </c>
      <c r="F26" s="55">
        <f>+'MEIL 2012 Budget (Orig)'!F47+'OCK 2012 Budget'!F38+'PR Company'!F35</f>
        <v>800000</v>
      </c>
      <c r="G26" s="55">
        <f>+'MEIL 2012 Budget (Orig)'!G47+'OCK 2012 Budget'!G38+'PR Company'!G35</f>
        <v>800000</v>
      </c>
      <c r="H26" s="55">
        <f>+'MEIL 2012 Budget (Orig)'!H47+'OCK 2012 Budget'!H38+'PR Company'!H35</f>
        <v>800000</v>
      </c>
      <c r="I26" s="55">
        <f>+'MEIL 2012 Budget (Orig)'!I47+'OCK 2012 Budget'!I38+'PR Company'!I35</f>
        <v>800000</v>
      </c>
      <c r="J26" s="55">
        <f>+'MEIL 2012 Budget (Orig)'!J47+'OCK 2012 Budget'!J38+'PR Company'!J35</f>
        <v>800000</v>
      </c>
      <c r="K26" s="55">
        <f>+'MEIL 2012 Budget (Orig)'!K47+'OCK 2012 Budget'!K38+'PR Company'!K35</f>
        <v>800000</v>
      </c>
      <c r="L26" s="55">
        <f>+'MEIL 2012 Budget (Orig)'!L47+'OCK 2012 Budget'!L38+'PR Company'!L35</f>
        <v>800000</v>
      </c>
      <c r="M26" s="55">
        <f>+'MEIL 2012 Budget (Orig)'!M47+'OCK 2012 Budget'!M38+'PR Company'!M35</f>
        <v>800000</v>
      </c>
      <c r="N26" s="56">
        <f t="shared" si="5"/>
        <v>9600000</v>
      </c>
      <c r="O26" s="157"/>
      <c r="P26" s="70">
        <f t="shared" si="6"/>
        <v>9600000</v>
      </c>
    </row>
    <row r="27" spans="1:16" s="147" customFormat="1" ht="16.5" customHeight="1" x14ac:dyDescent="0.25">
      <c r="A27" s="140" t="s">
        <v>53</v>
      </c>
      <c r="B27" s="55">
        <f>+'MEIL 2012 Budget (Orig)'!B36</f>
        <v>375000</v>
      </c>
      <c r="C27" s="55">
        <f>+'MEIL 2012 Budget (Orig)'!C36</f>
        <v>375000</v>
      </c>
      <c r="D27" s="55">
        <f>+'MEIL 2012 Budget (Orig)'!D36</f>
        <v>375000</v>
      </c>
      <c r="E27" s="55">
        <f>+'MEIL 2012 Budget (Orig)'!E36</f>
        <v>375000</v>
      </c>
      <c r="F27" s="55">
        <f>+'MEIL 2012 Budget (Orig)'!F36</f>
        <v>375000</v>
      </c>
      <c r="G27" s="55">
        <f>+'MEIL 2012 Budget (Orig)'!G36</f>
        <v>375000</v>
      </c>
      <c r="H27" s="55">
        <f>+'MEIL 2012 Budget (Orig)'!H36</f>
        <v>375000</v>
      </c>
      <c r="I27" s="55">
        <f>+'MEIL 2012 Budget (Orig)'!I36</f>
        <v>375000</v>
      </c>
      <c r="J27" s="55">
        <f>+'MEIL 2012 Budget (Orig)'!J36</f>
        <v>375000</v>
      </c>
      <c r="K27" s="55">
        <f>+'MEIL 2012 Budget (Orig)'!K36</f>
        <v>375000</v>
      </c>
      <c r="L27" s="55">
        <f>+'MEIL 2012 Budget (Orig)'!L36</f>
        <v>375000</v>
      </c>
      <c r="M27" s="55">
        <f>+'MEIL 2012 Budget (Orig)'!M36</f>
        <v>375000</v>
      </c>
      <c r="N27" s="56">
        <f t="shared" si="5"/>
        <v>4500000</v>
      </c>
      <c r="O27" s="157"/>
      <c r="P27" s="70">
        <f t="shared" si="6"/>
        <v>4500000</v>
      </c>
    </row>
    <row r="28" spans="1:16" s="147" customFormat="1" ht="16.5" customHeight="1" x14ac:dyDescent="0.25">
      <c r="A28" s="140" t="s">
        <v>16</v>
      </c>
      <c r="B28" s="55">
        <f>+'MEIL 2012 Budget (Orig)'!B37+'OCK 2012 Budget'!B27+'PR Company'!B24</f>
        <v>25000</v>
      </c>
      <c r="C28" s="55">
        <f>+'MEIL 2012 Budget (Orig)'!C37+'OCK 2012 Budget'!C27+'PR Company'!C24</f>
        <v>25000</v>
      </c>
      <c r="D28" s="55">
        <f>+'MEIL 2012 Budget (Orig)'!D37+'OCK 2012 Budget'!D27+'PR Company'!D24</f>
        <v>25000</v>
      </c>
      <c r="E28" s="55">
        <f>+'MEIL 2012 Budget (Orig)'!E37+'OCK 2012 Budget'!E27+'PR Company'!E24</f>
        <v>25000</v>
      </c>
      <c r="F28" s="55">
        <f>+'MEIL 2012 Budget (Orig)'!F37+'OCK 2012 Budget'!F27+'PR Company'!F24</f>
        <v>25000</v>
      </c>
      <c r="G28" s="55">
        <f>+'MEIL 2012 Budget (Orig)'!G37+'OCK 2012 Budget'!G27+'PR Company'!G24</f>
        <v>25000</v>
      </c>
      <c r="H28" s="55">
        <f>+'MEIL 2012 Budget (Orig)'!H37+'OCK 2012 Budget'!H27+'PR Company'!H24</f>
        <v>25000</v>
      </c>
      <c r="I28" s="55">
        <f>+'MEIL 2012 Budget (Orig)'!I37+'OCK 2012 Budget'!I27+'PR Company'!I24</f>
        <v>25000</v>
      </c>
      <c r="J28" s="55">
        <f>+'MEIL 2012 Budget (Orig)'!J37+'OCK 2012 Budget'!J27+'PR Company'!J24</f>
        <v>25000</v>
      </c>
      <c r="K28" s="55">
        <f>+'MEIL 2012 Budget (Orig)'!K37+'OCK 2012 Budget'!K27+'PR Company'!K24</f>
        <v>25000</v>
      </c>
      <c r="L28" s="55">
        <f>+'MEIL 2012 Budget (Orig)'!L37+'OCK 2012 Budget'!L27+'PR Company'!L24</f>
        <v>25000</v>
      </c>
      <c r="M28" s="55">
        <f>+'MEIL 2012 Budget (Orig)'!M37+'OCK 2012 Budget'!M27+'PR Company'!M24</f>
        <v>25000</v>
      </c>
      <c r="N28" s="56">
        <f t="shared" si="5"/>
        <v>300000</v>
      </c>
      <c r="O28" s="157">
        <v>180000</v>
      </c>
      <c r="P28" s="70">
        <f t="shared" si="6"/>
        <v>120000</v>
      </c>
    </row>
    <row r="29" spans="1:16" s="147" customFormat="1" ht="16.5" customHeight="1" x14ac:dyDescent="0.25">
      <c r="A29" s="140" t="s">
        <v>5</v>
      </c>
      <c r="B29" s="55">
        <f>+'MEIL 2012 Budget (Orig)'!B38+'OCK 2012 Budget'!B28+'PR Company'!B25</f>
        <v>60000</v>
      </c>
      <c r="C29" s="55">
        <f>+'MEIL 2012 Budget (Orig)'!C38+'OCK 2012 Budget'!C28+'PR Company'!C25</f>
        <v>60000</v>
      </c>
      <c r="D29" s="55">
        <f>+'MEIL 2012 Budget (Orig)'!D38+'OCK 2012 Budget'!D28+'PR Company'!D25</f>
        <v>60000</v>
      </c>
      <c r="E29" s="55">
        <f>+'MEIL 2012 Budget (Orig)'!E38+'OCK 2012 Budget'!E28+'PR Company'!E25</f>
        <v>60000</v>
      </c>
      <c r="F29" s="55">
        <f>+'MEIL 2012 Budget (Orig)'!F38+'OCK 2012 Budget'!F28+'PR Company'!F25</f>
        <v>60000</v>
      </c>
      <c r="G29" s="55">
        <f>+'MEIL 2012 Budget (Orig)'!G38+'OCK 2012 Budget'!G28+'PR Company'!G25</f>
        <v>60000</v>
      </c>
      <c r="H29" s="55">
        <f>+'MEIL 2012 Budget (Orig)'!H38+'OCK 2012 Budget'!H28+'PR Company'!H25</f>
        <v>60000</v>
      </c>
      <c r="I29" s="55">
        <f>+'MEIL 2012 Budget (Orig)'!I38+'OCK 2012 Budget'!I28+'PR Company'!I25</f>
        <v>60000</v>
      </c>
      <c r="J29" s="55">
        <f>+'MEIL 2012 Budget (Orig)'!J38+'OCK 2012 Budget'!J28+'PR Company'!J25</f>
        <v>60000</v>
      </c>
      <c r="K29" s="55">
        <f>+'MEIL 2012 Budget (Orig)'!K38+'OCK 2012 Budget'!K28+'PR Company'!K25</f>
        <v>60000</v>
      </c>
      <c r="L29" s="55">
        <f>+'MEIL 2012 Budget (Orig)'!L38+'OCK 2012 Budget'!L28+'PR Company'!L25</f>
        <v>60000</v>
      </c>
      <c r="M29" s="55">
        <f>+'MEIL 2012 Budget (Orig)'!M38+'OCK 2012 Budget'!M28+'PR Company'!M25</f>
        <v>60000</v>
      </c>
      <c r="N29" s="56">
        <f t="shared" si="5"/>
        <v>720000</v>
      </c>
      <c r="O29" s="157">
        <v>60000</v>
      </c>
      <c r="P29" s="70">
        <f t="shared" si="6"/>
        <v>660000</v>
      </c>
    </row>
    <row r="30" spans="1:16" s="147" customFormat="1" ht="16.5" customHeight="1" x14ac:dyDescent="0.25">
      <c r="A30" s="140" t="s">
        <v>17</v>
      </c>
      <c r="B30" s="55">
        <f>+'MEIL 2012 Budget (Orig)'!B39+'OCK 2012 Budget'!B29</f>
        <v>55000</v>
      </c>
      <c r="C30" s="55">
        <f>+'MEIL 2012 Budget (Orig)'!B39+'OCK 2012 Budget'!B29+'PR Company'!B26</f>
        <v>55000</v>
      </c>
      <c r="D30" s="55">
        <f>+'MEIL 2012 Budget (Orig)'!C39+'OCK 2012 Budget'!C29+'PR Company'!C26</f>
        <v>55000</v>
      </c>
      <c r="E30" s="55">
        <f>+'MEIL 2012 Budget (Orig)'!E39+'OCK 2012 Budget'!E29</f>
        <v>55000</v>
      </c>
      <c r="F30" s="55">
        <f>+'MEIL 2012 Budget (Orig)'!F39+'OCK 2012 Budget'!F29</f>
        <v>55000</v>
      </c>
      <c r="G30" s="55">
        <f>+'MEIL 2012 Budget (Orig)'!G39+'OCK 2012 Budget'!G29</f>
        <v>55000</v>
      </c>
      <c r="H30" s="55">
        <f>+'MEIL 2012 Budget (Orig)'!H39+'OCK 2012 Budget'!H29</f>
        <v>55000</v>
      </c>
      <c r="I30" s="55">
        <f>+'MEIL 2012 Budget (Orig)'!I39+'OCK 2012 Budget'!I29</f>
        <v>55000</v>
      </c>
      <c r="J30" s="55">
        <f>+'MEIL 2012 Budget (Orig)'!J39+'OCK 2012 Budget'!J29</f>
        <v>55000</v>
      </c>
      <c r="K30" s="55">
        <f>+'MEIL 2012 Budget (Orig)'!K39+'OCK 2012 Budget'!K29</f>
        <v>55000</v>
      </c>
      <c r="L30" s="55">
        <f>+'MEIL 2012 Budget (Orig)'!L39+'OCK 2012 Budget'!L29</f>
        <v>55000</v>
      </c>
      <c r="M30" s="55">
        <f>+'MEIL 2012 Budget (Orig)'!M39+'OCK 2012 Budget'!M29</f>
        <v>55000</v>
      </c>
      <c r="N30" s="56">
        <f t="shared" si="5"/>
        <v>660000</v>
      </c>
      <c r="O30" s="157">
        <v>60000</v>
      </c>
      <c r="P30" s="70">
        <f t="shared" si="6"/>
        <v>600000</v>
      </c>
    </row>
    <row r="31" spans="1:16" s="147" customFormat="1" ht="16.5" customHeight="1" x14ac:dyDescent="0.25">
      <c r="A31" s="140" t="s">
        <v>18</v>
      </c>
      <c r="B31" s="55">
        <f>+'MEIL 2012 Budget (Orig)'!B40+'OCK 2012 Budget'!B30+'PR Company'!B26+'PR Company'!B27</f>
        <v>171666.66666666666</v>
      </c>
      <c r="C31" s="55">
        <f>+'MEIL 2012 Budget (Orig)'!B40+'OCK 2012 Budget'!B30+'PR Company'!B27</f>
        <v>171666.66666666666</v>
      </c>
      <c r="D31" s="55">
        <f>+'MEIL 2012 Budget (Orig)'!C40+'OCK 2012 Budget'!C30+'PR Company'!C27</f>
        <v>171666.66666666666</v>
      </c>
      <c r="E31" s="55">
        <f>+'MEIL 2012 Budget (Orig)'!E40+'OCK 2012 Budget'!E30</f>
        <v>171666.66666666666</v>
      </c>
      <c r="F31" s="55">
        <f>+'MEIL 2012 Budget (Orig)'!F40+'OCK 2012 Budget'!F30</f>
        <v>171666.66666666666</v>
      </c>
      <c r="G31" s="55">
        <f>+'MEIL 2012 Budget (Orig)'!G40+'OCK 2012 Budget'!G30</f>
        <v>171666.66666666666</v>
      </c>
      <c r="H31" s="55">
        <f>+'MEIL 2012 Budget (Orig)'!H40+'OCK 2012 Budget'!H30</f>
        <v>171666.66666666666</v>
      </c>
      <c r="I31" s="55">
        <f>+'MEIL 2012 Budget (Orig)'!I40+'OCK 2012 Budget'!I30</f>
        <v>171666.66666666666</v>
      </c>
      <c r="J31" s="55">
        <f>+'MEIL 2012 Budget (Orig)'!J40+'OCK 2012 Budget'!J30</f>
        <v>171666.66666666666</v>
      </c>
      <c r="K31" s="55">
        <f>+'MEIL 2012 Budget (Orig)'!K40+'OCK 2012 Budget'!K30</f>
        <v>171666.66666666666</v>
      </c>
      <c r="L31" s="55">
        <f>+'MEIL 2012 Budget (Orig)'!L40+'OCK 2012 Budget'!L30</f>
        <v>171666.66666666666</v>
      </c>
      <c r="M31" s="55">
        <f>+'MEIL 2012 Budget (Orig)'!M40+'OCK 2012 Budget'!M30</f>
        <v>171666.66666666666</v>
      </c>
      <c r="N31" s="56">
        <f t="shared" si="5"/>
        <v>2060000.0000000002</v>
      </c>
      <c r="O31" s="157">
        <v>96000</v>
      </c>
      <c r="P31" s="70">
        <f t="shared" si="6"/>
        <v>1964000.0000000002</v>
      </c>
    </row>
    <row r="32" spans="1:16" s="147" customFormat="1" ht="16.5" customHeight="1" x14ac:dyDescent="0.25">
      <c r="A32" s="140" t="s">
        <v>19</v>
      </c>
      <c r="B32" s="55">
        <f>+'MEIL 2012 Budget (Orig)'!B41+'OCK 2012 Budget'!B31+'PR Company'!B28</f>
        <v>380000</v>
      </c>
      <c r="C32" s="55">
        <f>+'MEIL 2012 Budget (Orig)'!B41+'OCK 2012 Budget'!B31+'PR Company'!B28</f>
        <v>380000</v>
      </c>
      <c r="D32" s="55">
        <f>+'MEIL 2012 Budget (Orig)'!C41+'OCK 2012 Budget'!C31+'PR Company'!C28</f>
        <v>380000</v>
      </c>
      <c r="E32" s="55">
        <f>+'MEIL 2012 Budget (Orig)'!E41+'OCK 2012 Budget'!E31</f>
        <v>505000</v>
      </c>
      <c r="F32" s="55">
        <f>+'MEIL 2012 Budget (Orig)'!F41+'OCK 2012 Budget'!F31</f>
        <v>505000</v>
      </c>
      <c r="G32" s="55">
        <f>+'MEIL 2012 Budget (Orig)'!G41+'OCK 2012 Budget'!G31</f>
        <v>505000</v>
      </c>
      <c r="H32" s="55">
        <f>+'MEIL 2012 Budget (Orig)'!H41+'OCK 2012 Budget'!H31</f>
        <v>505000</v>
      </c>
      <c r="I32" s="55">
        <f>+'MEIL 2012 Budget (Orig)'!I41+'OCK 2012 Budget'!I31</f>
        <v>505000</v>
      </c>
      <c r="J32" s="55">
        <f>+'MEIL 2012 Budget (Orig)'!J41+'OCK 2012 Budget'!J31</f>
        <v>505000</v>
      </c>
      <c r="K32" s="55">
        <f>+'MEIL 2012 Budget (Orig)'!K41+'OCK 2012 Budget'!K31</f>
        <v>505000</v>
      </c>
      <c r="L32" s="55">
        <f>+'MEIL 2012 Budget (Orig)'!L41+'OCK 2012 Budget'!L31</f>
        <v>505000</v>
      </c>
      <c r="M32" s="55">
        <f>+'MEIL 2012 Budget (Orig)'!M41+'OCK 2012 Budget'!M31</f>
        <v>505000</v>
      </c>
      <c r="N32" s="56">
        <f t="shared" si="5"/>
        <v>5685000</v>
      </c>
      <c r="O32" s="157">
        <v>120000</v>
      </c>
      <c r="P32" s="70">
        <f t="shared" si="6"/>
        <v>5565000</v>
      </c>
    </row>
    <row r="33" spans="1:16" s="147" customFormat="1" ht="16.5" customHeight="1" x14ac:dyDescent="0.25">
      <c r="A33" s="140" t="s">
        <v>20</v>
      </c>
      <c r="B33" s="55">
        <f>+'MEIL 2012 Budget (Orig)'!B42+'OCK 2012 Budget'!B32+'PR Company'!B29</f>
        <v>48333.333333333336</v>
      </c>
      <c r="C33" s="55">
        <f>+'MEIL 2012 Budget (Orig)'!B42+'OCK 2012 Budget'!B32+'PR Company'!B29</f>
        <v>48333.333333333336</v>
      </c>
      <c r="D33" s="55">
        <f>+'MEIL 2012 Budget (Orig)'!C42+'OCK 2012 Budget'!C32+'PR Company'!C29</f>
        <v>48333.333333333336</v>
      </c>
      <c r="E33" s="55">
        <f>+'MEIL 2012 Budget (Orig)'!E42+'OCK 2012 Budget'!E32</f>
        <v>48333.333333333336</v>
      </c>
      <c r="F33" s="55">
        <f>+'MEIL 2012 Budget (Orig)'!F42+'OCK 2012 Budget'!F32</f>
        <v>48333.333333333336</v>
      </c>
      <c r="G33" s="55">
        <f>+'MEIL 2012 Budget (Orig)'!G42+'OCK 2012 Budget'!G32</f>
        <v>48333.333333333336</v>
      </c>
      <c r="H33" s="55">
        <f>+'MEIL 2012 Budget (Orig)'!H42+'OCK 2012 Budget'!H32</f>
        <v>48333.333333333336</v>
      </c>
      <c r="I33" s="55">
        <f>+'MEIL 2012 Budget (Orig)'!I42+'OCK 2012 Budget'!I32</f>
        <v>48333.333333333336</v>
      </c>
      <c r="J33" s="55">
        <f>+'MEIL 2012 Budget (Orig)'!J42+'OCK 2012 Budget'!J32</f>
        <v>48333.333333333336</v>
      </c>
      <c r="K33" s="55">
        <f>+'MEIL 2012 Budget (Orig)'!K42+'OCK 2012 Budget'!K32</f>
        <v>48333.333333333336</v>
      </c>
      <c r="L33" s="55">
        <f>+'MEIL 2012 Budget (Orig)'!L42+'OCK 2012 Budget'!L32</f>
        <v>48333.333333333336</v>
      </c>
      <c r="M33" s="55">
        <f>+'MEIL 2012 Budget (Orig)'!M42+'OCK 2012 Budget'!M32</f>
        <v>48333.333333333336</v>
      </c>
      <c r="N33" s="56">
        <f t="shared" si="5"/>
        <v>580000</v>
      </c>
      <c r="O33" s="157">
        <v>180000</v>
      </c>
      <c r="P33" s="70">
        <f t="shared" si="6"/>
        <v>400000</v>
      </c>
    </row>
    <row r="34" spans="1:16" s="147" customFormat="1" ht="16.5" customHeight="1" x14ac:dyDescent="0.25">
      <c r="A34" s="122" t="s">
        <v>38</v>
      </c>
      <c r="B34" s="55">
        <f>+'OCK 2012 Budget'!B33+'PR Company'!B30</f>
        <v>370000</v>
      </c>
      <c r="C34" s="55">
        <f>+'OCK 2012 Budget'!C33+'PR Company'!C30</f>
        <v>370000</v>
      </c>
      <c r="D34" s="55">
        <f>+'OCK 2012 Budget'!D33+'PR Company'!D30</f>
        <v>370000</v>
      </c>
      <c r="E34" s="55">
        <f>+'OCK 2012 Budget'!E33+'PR Company'!E30</f>
        <v>370000</v>
      </c>
      <c r="F34" s="55">
        <f>+'OCK 2012 Budget'!F33+'PR Company'!F30</f>
        <v>370000</v>
      </c>
      <c r="G34" s="55">
        <f>+'OCK 2012 Budget'!G33+'PR Company'!G30</f>
        <v>370000</v>
      </c>
      <c r="H34" s="55">
        <f>+'OCK 2012 Budget'!H33+'PR Company'!H30</f>
        <v>370000</v>
      </c>
      <c r="I34" s="55">
        <f>+'OCK 2012 Budget'!I33+'PR Company'!I30</f>
        <v>370000</v>
      </c>
      <c r="J34" s="55">
        <f>+'OCK 2012 Budget'!J33+'PR Company'!J30</f>
        <v>370000</v>
      </c>
      <c r="K34" s="55">
        <f>+'OCK 2012 Budget'!K33+'PR Company'!K30</f>
        <v>370000</v>
      </c>
      <c r="L34" s="55">
        <f>+'OCK 2012 Budget'!L33+'PR Company'!L30</f>
        <v>370000</v>
      </c>
      <c r="M34" s="55">
        <f>+'OCK 2012 Budget'!M33+'PR Company'!M30</f>
        <v>370000</v>
      </c>
      <c r="N34" s="56">
        <f t="shared" si="5"/>
        <v>4440000</v>
      </c>
      <c r="O34" s="157">
        <v>4440000</v>
      </c>
      <c r="P34" s="70">
        <f t="shared" si="6"/>
        <v>0</v>
      </c>
    </row>
    <row r="35" spans="1:16" s="147" customFormat="1" ht="16.5" customHeight="1" x14ac:dyDescent="0.25">
      <c r="A35" s="140" t="s">
        <v>21</v>
      </c>
      <c r="B35" s="55">
        <f>+'MEIL 2012 Budget (Orig)'!B43+'OCK 2012 Budget'!B34+'PR Company'!B31</f>
        <v>5285000</v>
      </c>
      <c r="C35" s="55">
        <f>+'MEIL 2012 Budget (Orig)'!C43+'OCK 2012 Budget'!C34+'PR Company'!C31</f>
        <v>5285000</v>
      </c>
      <c r="D35" s="55">
        <f>+'MEIL 2012 Budget (Orig)'!D43+'OCK 2012 Budget'!D34+'PR Company'!D31</f>
        <v>5285000</v>
      </c>
      <c r="E35" s="55">
        <f>+'MEIL 2012 Budget (Orig)'!E43+'OCK 2012 Budget'!E34+'PR Company'!E31</f>
        <v>5485000</v>
      </c>
      <c r="F35" s="55">
        <f>+'MEIL 2012 Budget (Orig)'!F43+'OCK 2012 Budget'!F34+'PR Company'!F31</f>
        <v>5485000</v>
      </c>
      <c r="G35" s="55">
        <f>+'MEIL 2012 Budget (Orig)'!G43+'OCK 2012 Budget'!G34+'PR Company'!G31</f>
        <v>5485000</v>
      </c>
      <c r="H35" s="55">
        <f>+'MEIL 2012 Budget (Orig)'!H43+'OCK 2012 Budget'!H34+'PR Company'!H31</f>
        <v>5485000</v>
      </c>
      <c r="I35" s="55">
        <f>+'MEIL 2012 Budget (Orig)'!I43+'OCK 2012 Budget'!I34+'PR Company'!I31</f>
        <v>5485000</v>
      </c>
      <c r="J35" s="55">
        <f>+'MEIL 2012 Budget (Orig)'!J43+'OCK 2012 Budget'!J34+'PR Company'!J31</f>
        <v>5785000</v>
      </c>
      <c r="K35" s="55">
        <f>+'MEIL 2012 Budget (Orig)'!K43+'OCK 2012 Budget'!K34+'PR Company'!K31</f>
        <v>5785000</v>
      </c>
      <c r="L35" s="55">
        <f>+'MEIL 2012 Budget (Orig)'!L43+'OCK 2012 Budget'!L34+'PR Company'!L31</f>
        <v>5785000</v>
      </c>
      <c r="M35" s="55">
        <f>+'MEIL 2012 Budget (Orig)'!M43+'OCK 2012 Budget'!M34+'PR Company'!M31</f>
        <v>5785000</v>
      </c>
      <c r="N35" s="56">
        <f t="shared" si="5"/>
        <v>66420000</v>
      </c>
      <c r="O35" s="157">
        <v>1020000</v>
      </c>
      <c r="P35" s="70">
        <f t="shared" si="6"/>
        <v>65400000</v>
      </c>
    </row>
    <row r="36" spans="1:16" s="147" customFormat="1" ht="16.5" customHeight="1" x14ac:dyDescent="0.25">
      <c r="A36" s="140" t="s">
        <v>22</v>
      </c>
      <c r="B36" s="55">
        <f>+'MEIL 2012 Budget (Orig)'!B44+'OCK 2012 Budget'!B35+'PR Company'!B32</f>
        <v>305000</v>
      </c>
      <c r="C36" s="55">
        <f>+'MEIL 2012 Budget (Orig)'!C44+'OCK 2012 Budget'!C35+'PR Company'!C32</f>
        <v>305000</v>
      </c>
      <c r="D36" s="55">
        <f>+'MEIL 2012 Budget (Orig)'!D44+'OCK 2012 Budget'!D35+'PR Company'!D32</f>
        <v>305000</v>
      </c>
      <c r="E36" s="55">
        <f>+'MEIL 2012 Budget (Orig)'!E44+'OCK 2012 Budget'!E35+'PR Company'!E32</f>
        <v>305000</v>
      </c>
      <c r="F36" s="55">
        <f>+'MEIL 2012 Budget (Orig)'!F44+'OCK 2012 Budget'!F35+'PR Company'!F32</f>
        <v>305000</v>
      </c>
      <c r="G36" s="55">
        <f>+'MEIL 2012 Budget (Orig)'!G44+'OCK 2012 Budget'!G35+'PR Company'!G32</f>
        <v>305000</v>
      </c>
      <c r="H36" s="55">
        <f>+'MEIL 2012 Budget (Orig)'!H44+'OCK 2012 Budget'!H35+'PR Company'!H32</f>
        <v>305000</v>
      </c>
      <c r="I36" s="55">
        <f>+'MEIL 2012 Budget (Orig)'!I44+'OCK 2012 Budget'!I35+'PR Company'!I32</f>
        <v>305000</v>
      </c>
      <c r="J36" s="55">
        <f>+'MEIL 2012 Budget (Orig)'!J44+'OCK 2012 Budget'!J35+'PR Company'!J32</f>
        <v>305000</v>
      </c>
      <c r="K36" s="55">
        <f>+'MEIL 2012 Budget (Orig)'!K44+'OCK 2012 Budget'!K35+'PR Company'!K32</f>
        <v>305000</v>
      </c>
      <c r="L36" s="55">
        <f>+'MEIL 2012 Budget (Orig)'!L44+'OCK 2012 Budget'!L35+'PR Company'!L32</f>
        <v>305000</v>
      </c>
      <c r="M36" s="55">
        <f>+'MEIL 2012 Budget (Orig)'!M44+'OCK 2012 Budget'!M35+'PR Company'!M32</f>
        <v>305000</v>
      </c>
      <c r="N36" s="56">
        <f t="shared" si="5"/>
        <v>3660000</v>
      </c>
      <c r="O36" s="157">
        <v>180000</v>
      </c>
      <c r="P36" s="70">
        <f t="shared" si="6"/>
        <v>3480000</v>
      </c>
    </row>
    <row r="37" spans="1:16" s="147" customFormat="1" ht="16.5" customHeight="1" x14ac:dyDescent="0.25">
      <c r="A37" s="140" t="s">
        <v>23</v>
      </c>
      <c r="B37" s="55">
        <f>+'MEIL 2012 Budget (Orig)'!B45+'OCK 2012 Budget'!B36+'PR Company'!B33</f>
        <v>260000</v>
      </c>
      <c r="C37" s="55">
        <f>+'MEIL 2012 Budget (Orig)'!C45+'OCK 2012 Budget'!C36+'PR Company'!B33</f>
        <v>260000</v>
      </c>
      <c r="D37" s="55">
        <f>+'MEIL 2012 Budget (Orig)'!D45+'OCK 2012 Budget'!D36+'PR Company'!C33</f>
        <v>260000</v>
      </c>
      <c r="E37" s="55">
        <f>+'MEIL 2012 Budget (Orig)'!E45+'OCK 2012 Budget'!E36+'PR Company'!D33</f>
        <v>260000</v>
      </c>
      <c r="F37" s="55">
        <f>+'MEIL 2012 Budget (Orig)'!F45+'OCK 2012 Budget'!F36+'PR Company'!E33</f>
        <v>260000</v>
      </c>
      <c r="G37" s="55">
        <f>+'MEIL 2012 Budget (Orig)'!G45+'OCK 2012 Budget'!G36+'PR Company'!F33</f>
        <v>260000</v>
      </c>
      <c r="H37" s="55">
        <f>+'MEIL 2012 Budget (Orig)'!H45+'OCK 2012 Budget'!H36+'PR Company'!G33</f>
        <v>260000</v>
      </c>
      <c r="I37" s="55">
        <f>+'MEIL 2012 Budget (Orig)'!I45+'OCK 2012 Budget'!I36+'PR Company'!H33</f>
        <v>260000</v>
      </c>
      <c r="J37" s="55">
        <f>+'MEIL 2012 Budget (Orig)'!J45+'OCK 2012 Budget'!J36+'PR Company'!I33</f>
        <v>260000</v>
      </c>
      <c r="K37" s="55">
        <f>+'MEIL 2012 Budget (Orig)'!K45+'OCK 2012 Budget'!K36+'PR Company'!J33</f>
        <v>260000</v>
      </c>
      <c r="L37" s="55">
        <f>+'MEIL 2012 Budget (Orig)'!L45+'OCK 2012 Budget'!L36+'PR Company'!K33</f>
        <v>260000</v>
      </c>
      <c r="M37" s="55">
        <f>+'MEIL 2012 Budget (Orig)'!M45+'OCK 2012 Budget'!M36+'PR Company'!L33</f>
        <v>260000</v>
      </c>
      <c r="N37" s="56">
        <f t="shared" si="5"/>
        <v>3120000</v>
      </c>
      <c r="O37" s="157"/>
      <c r="P37" s="70">
        <f t="shared" si="6"/>
        <v>3120000</v>
      </c>
    </row>
    <row r="38" spans="1:16" s="78" customFormat="1" ht="15.75" customHeight="1" x14ac:dyDescent="0.25">
      <c r="A38" s="140" t="s">
        <v>23</v>
      </c>
      <c r="B38" s="55">
        <f>+'MEIL 2012 Budget (Orig)'!B46</f>
        <v>333333.33333333331</v>
      </c>
      <c r="C38" s="55">
        <f>+'MEIL 2012 Budget (Orig)'!C46</f>
        <v>333333.33333333331</v>
      </c>
      <c r="D38" s="55">
        <f>+'MEIL 2012 Budget (Orig)'!D46</f>
        <v>333333.33333333331</v>
      </c>
      <c r="E38" s="55">
        <f>+'MEIL 2012 Budget (Orig)'!E46</f>
        <v>333333.33333333331</v>
      </c>
      <c r="F38" s="55">
        <f>+'MEIL 2012 Budget (Orig)'!F46</f>
        <v>333333.33333333331</v>
      </c>
      <c r="G38" s="55">
        <f>+'MEIL 2012 Budget (Orig)'!G46</f>
        <v>333333.33333333331</v>
      </c>
      <c r="H38" s="55">
        <f>+'MEIL 2012 Budget (Orig)'!H46</f>
        <v>333333.33333333331</v>
      </c>
      <c r="I38" s="55">
        <f>+'MEIL 2012 Budget (Orig)'!I46</f>
        <v>333333.33333333331</v>
      </c>
      <c r="J38" s="55">
        <f>+'MEIL 2012 Budget (Orig)'!J46</f>
        <v>333333.33333333331</v>
      </c>
      <c r="K38" s="55">
        <f>+'MEIL 2012 Budget (Orig)'!K46</f>
        <v>333333.33333333331</v>
      </c>
      <c r="L38" s="55">
        <f>+'MEIL 2012 Budget (Orig)'!L46</f>
        <v>333333.33333333331</v>
      </c>
      <c r="M38" s="55">
        <f>+'MEIL 2012 Budget (Orig)'!M46</f>
        <v>333333.33333333331</v>
      </c>
      <c r="N38" s="56">
        <f t="shared" si="5"/>
        <v>4000000.0000000005</v>
      </c>
      <c r="O38" s="157"/>
      <c r="P38" s="70">
        <f t="shared" si="6"/>
        <v>4000000.0000000005</v>
      </c>
    </row>
    <row r="39" spans="1:16" s="147" customFormat="1" ht="16.5" customHeight="1" x14ac:dyDescent="0.25">
      <c r="A39" s="140" t="s">
        <v>87</v>
      </c>
      <c r="B39" s="55">
        <f>+'MEIL 2012 Budget (Orig)'!B48+'OCK 2012 Budget'!B37+'PR Company'!B34</f>
        <v>275000</v>
      </c>
      <c r="C39" s="55">
        <f>+'MEIL 2012 Budget (Orig)'!B48+'OCK 2012 Budget'!B37+'PR Company'!B34</f>
        <v>275000</v>
      </c>
      <c r="D39" s="55">
        <f>+'MEIL 2012 Budget (Orig)'!D48+'OCK 2012 Budget'!D37+'PR Company'!D34</f>
        <v>275000</v>
      </c>
      <c r="E39" s="55">
        <f>+'MEIL 2012 Budget (Orig)'!E48+'OCK 2012 Budget'!E37+'PR Company'!E34</f>
        <v>275000</v>
      </c>
      <c r="F39" s="55">
        <f>+'MEIL 2012 Budget (Orig)'!F48+'OCK 2012 Budget'!F37+'PR Company'!F34</f>
        <v>275000</v>
      </c>
      <c r="G39" s="55">
        <f>+'MEIL 2012 Budget (Orig)'!G48+'OCK 2012 Budget'!G37+'PR Company'!G34</f>
        <v>275000</v>
      </c>
      <c r="H39" s="55">
        <f>+'MEIL 2012 Budget (Orig)'!H48+'OCK 2012 Budget'!H37+'PR Company'!H34</f>
        <v>275000</v>
      </c>
      <c r="I39" s="55">
        <f>+'MEIL 2012 Budget (Orig)'!I48+'OCK 2012 Budget'!I37+'PR Company'!I34</f>
        <v>275000</v>
      </c>
      <c r="J39" s="55">
        <f>+'MEIL 2012 Budget (Orig)'!J48+'OCK 2012 Budget'!J37+'PR Company'!J34</f>
        <v>275000</v>
      </c>
      <c r="K39" s="55">
        <f>+'MEIL 2012 Budget (Orig)'!K48+'OCK 2012 Budget'!K37+'PR Company'!K34</f>
        <v>275000</v>
      </c>
      <c r="L39" s="55">
        <f>+'MEIL 2012 Budget (Orig)'!L48+'OCK 2012 Budget'!L37+'PR Company'!L34</f>
        <v>275000</v>
      </c>
      <c r="M39" s="55">
        <f>+'MEIL 2012 Budget (Orig)'!M48+'OCK 2012 Budget'!M37+'PR Company'!M34</f>
        <v>275000</v>
      </c>
      <c r="N39" s="56">
        <f t="shared" si="5"/>
        <v>3300000</v>
      </c>
      <c r="O39" s="157"/>
      <c r="P39" s="70">
        <f t="shared" si="6"/>
        <v>3300000</v>
      </c>
    </row>
    <row r="40" spans="1:16" s="147" customFormat="1" ht="16.5" customHeight="1" x14ac:dyDescent="0.25">
      <c r="A40" s="140" t="s">
        <v>24</v>
      </c>
      <c r="B40" s="55">
        <f>+'MEIL 2012 Budget (Orig)'!B49+'OCK 2012 Budget'!B40+'PR Company'!B37</f>
        <v>21333.333333333336</v>
      </c>
      <c r="C40" s="55">
        <f>+'MEIL 2012 Budget (Orig)'!C49+'OCK 2012 Budget'!C40+'PR Company'!C37</f>
        <v>21333.333333333336</v>
      </c>
      <c r="D40" s="55">
        <f>+'MEIL 2012 Budget (Orig)'!D49+'OCK 2012 Budget'!D40+'PR Company'!D37</f>
        <v>21333.333333333336</v>
      </c>
      <c r="E40" s="55">
        <f>+'MEIL 2012 Budget (Orig)'!E49+'OCK 2012 Budget'!E40+'PR Company'!E37</f>
        <v>21333.333333333336</v>
      </c>
      <c r="F40" s="55">
        <f>+'MEIL 2012 Budget (Orig)'!F49+'OCK 2012 Budget'!F40+'PR Company'!F37</f>
        <v>21333.333333333336</v>
      </c>
      <c r="G40" s="55">
        <f>+'MEIL 2012 Budget (Orig)'!G49+'OCK 2012 Budget'!G40+'PR Company'!G37</f>
        <v>21333.333333333336</v>
      </c>
      <c r="H40" s="55">
        <f>+'MEIL 2012 Budget (Orig)'!H49+'OCK 2012 Budget'!H40+'PR Company'!H37</f>
        <v>21333.333333333336</v>
      </c>
      <c r="I40" s="55">
        <f>+'MEIL 2012 Budget (Orig)'!I49+'OCK 2012 Budget'!I40+'PR Company'!I37</f>
        <v>21333.333333333336</v>
      </c>
      <c r="J40" s="55">
        <f>+'MEIL 2012 Budget (Orig)'!J49+'OCK 2012 Budget'!J40+'PR Company'!J37</f>
        <v>21333.333333333336</v>
      </c>
      <c r="K40" s="55">
        <f>+'MEIL 2012 Budget (Orig)'!K49+'OCK 2012 Budget'!K40+'PR Company'!K37</f>
        <v>21333.333333333336</v>
      </c>
      <c r="L40" s="55">
        <f>+'MEIL 2012 Budget (Orig)'!L49+'OCK 2012 Budget'!L40+'PR Company'!L37</f>
        <v>21333.333333333336</v>
      </c>
      <c r="M40" s="55">
        <f>+'MEIL 2012 Budget (Orig)'!M49+'OCK 2012 Budget'!M40+'PR Company'!M37</f>
        <v>21333.333333333336</v>
      </c>
      <c r="N40" s="56">
        <f t="shared" si="5"/>
        <v>256000.00000000009</v>
      </c>
      <c r="O40" s="157"/>
      <c r="P40" s="70">
        <f t="shared" si="6"/>
        <v>256000.00000000009</v>
      </c>
    </row>
    <row r="41" spans="1:16" s="147" customFormat="1" ht="16.5" customHeight="1" x14ac:dyDescent="0.25">
      <c r="A41" s="140" t="s">
        <v>25</v>
      </c>
      <c r="B41" s="55">
        <f>+'MEIL 2012 Budget (Orig)'!B50+'OCK 2012 Budget'!B41+'PR Company'!B38</f>
        <v>196666.66666666666</v>
      </c>
      <c r="C41" s="55">
        <f>+'MEIL 2012 Budget (Orig)'!C50+'OCK 2012 Budget'!C41+'PR Company'!C38</f>
        <v>196666.66666666666</v>
      </c>
      <c r="D41" s="55">
        <f>+'MEIL 2012 Budget (Orig)'!D50+'OCK 2012 Budget'!D41+'PR Company'!D38</f>
        <v>196666.66666666666</v>
      </c>
      <c r="E41" s="55">
        <f>+'MEIL 2012 Budget (Orig)'!E50+'OCK 2012 Budget'!E41+'PR Company'!E38</f>
        <v>196666.66666666666</v>
      </c>
      <c r="F41" s="55">
        <f>+'MEIL 2012 Budget (Orig)'!F50+'OCK 2012 Budget'!F41+'PR Company'!F38</f>
        <v>196666.66666666666</v>
      </c>
      <c r="G41" s="55">
        <f>+'MEIL 2012 Budget (Orig)'!G50+'OCK 2012 Budget'!G41+'PR Company'!G38</f>
        <v>196666.66666666666</v>
      </c>
      <c r="H41" s="55">
        <f>+'MEIL 2012 Budget (Orig)'!H50+'OCK 2012 Budget'!H41+'PR Company'!H38</f>
        <v>196666.66666666666</v>
      </c>
      <c r="I41" s="55">
        <f>+'MEIL 2012 Budget (Orig)'!I50+'OCK 2012 Budget'!I41+'PR Company'!I38</f>
        <v>196666.66666666666</v>
      </c>
      <c r="J41" s="55">
        <f>+'MEIL 2012 Budget (Orig)'!J50+'OCK 2012 Budget'!J41+'PR Company'!J38</f>
        <v>196666.66666666666</v>
      </c>
      <c r="K41" s="55">
        <f>+'MEIL 2012 Budget (Orig)'!K50+'OCK 2012 Budget'!K41+'PR Company'!K38</f>
        <v>196666.66666666666</v>
      </c>
      <c r="L41" s="55">
        <f>+'MEIL 2012 Budget (Orig)'!L50+'OCK 2012 Budget'!L41+'PR Company'!L38</f>
        <v>196666.66666666666</v>
      </c>
      <c r="M41" s="55">
        <f>+'MEIL 2012 Budget (Orig)'!M50+'OCK 2012 Budget'!M41+'PR Company'!M38</f>
        <v>196666.66666666666</v>
      </c>
      <c r="N41" s="56">
        <f t="shared" si="5"/>
        <v>2360000</v>
      </c>
      <c r="O41" s="157">
        <v>780000</v>
      </c>
      <c r="P41" s="70">
        <f t="shared" si="6"/>
        <v>1580000</v>
      </c>
    </row>
    <row r="42" spans="1:16" s="147" customFormat="1" ht="16.5" customHeight="1" x14ac:dyDescent="0.25">
      <c r="A42" s="140" t="s">
        <v>26</v>
      </c>
      <c r="B42" s="55">
        <f>+'MEIL 2012 Budget (Orig)'!B51+'OCK 2012 Budget'!B42+'PR Company'!B39</f>
        <v>100000</v>
      </c>
      <c r="C42" s="55">
        <f>+'MEIL 2012 Budget (Orig)'!C51+'OCK 2012 Budget'!C42+'PR Company'!C39</f>
        <v>100000</v>
      </c>
      <c r="D42" s="55">
        <f>+'MEIL 2012 Budget (Orig)'!D51+'OCK 2012 Budget'!D42+'PR Company'!D39</f>
        <v>100000</v>
      </c>
      <c r="E42" s="55">
        <f>+'MEIL 2012 Budget (Orig)'!E51+'OCK 2012 Budget'!E42+'PR Company'!E39</f>
        <v>100000</v>
      </c>
      <c r="F42" s="55">
        <f>+'MEIL 2012 Budget (Orig)'!F51+'OCK 2012 Budget'!F42+'PR Company'!F39</f>
        <v>100000</v>
      </c>
      <c r="G42" s="55">
        <f>+'MEIL 2012 Budget (Orig)'!G51+'OCK 2012 Budget'!G42+'PR Company'!G39</f>
        <v>100000</v>
      </c>
      <c r="H42" s="55">
        <f>+'MEIL 2012 Budget (Orig)'!H51+'OCK 2012 Budget'!H42+'PR Company'!H39</f>
        <v>100000</v>
      </c>
      <c r="I42" s="55">
        <f>+'MEIL 2012 Budget (Orig)'!I51+'OCK 2012 Budget'!I42+'PR Company'!I39</f>
        <v>100000</v>
      </c>
      <c r="J42" s="55">
        <f>+'MEIL 2012 Budget (Orig)'!J51+'OCK 2012 Budget'!J42+'PR Company'!J39</f>
        <v>100000</v>
      </c>
      <c r="K42" s="55">
        <f>+'MEIL 2012 Budget (Orig)'!K51+'OCK 2012 Budget'!K42+'PR Company'!K39</f>
        <v>100000</v>
      </c>
      <c r="L42" s="55">
        <f>+'MEIL 2012 Budget (Orig)'!L51+'OCK 2012 Budget'!L42+'PR Company'!L39</f>
        <v>100000</v>
      </c>
      <c r="M42" s="55">
        <f>+'MEIL 2012 Budget (Orig)'!M51+'OCK 2012 Budget'!M42+'PR Company'!M39</f>
        <v>100000</v>
      </c>
      <c r="N42" s="56">
        <f t="shared" si="5"/>
        <v>1200000</v>
      </c>
      <c r="O42" s="157"/>
      <c r="P42" s="70">
        <f t="shared" si="6"/>
        <v>1200000</v>
      </c>
    </row>
    <row r="43" spans="1:16" s="147" customFormat="1" ht="16.5" customHeight="1" x14ac:dyDescent="0.25">
      <c r="A43" s="140" t="s">
        <v>27</v>
      </c>
      <c r="B43" s="55">
        <f>+'MEIL 2012 Budget (Orig)'!B52+'OCK 2012 Budget'!B43+'PR Company'!B40</f>
        <v>255000</v>
      </c>
      <c r="C43" s="55">
        <f>+'MEIL 2012 Budget (Orig)'!C52+'OCK 2012 Budget'!C43+'PR Company'!C40</f>
        <v>255000</v>
      </c>
      <c r="D43" s="55">
        <f>+'MEIL 2012 Budget (Orig)'!D52+'OCK 2012 Budget'!D43+'PR Company'!D40</f>
        <v>255000</v>
      </c>
      <c r="E43" s="55">
        <f>+'MEIL 2012 Budget (Orig)'!E52+'OCK 2012 Budget'!E43+'PR Company'!E40</f>
        <v>255000</v>
      </c>
      <c r="F43" s="55">
        <f>+'MEIL 2012 Budget (Orig)'!F52+'OCK 2012 Budget'!F43+'PR Company'!F40</f>
        <v>255000</v>
      </c>
      <c r="G43" s="55">
        <f>+'MEIL 2012 Budget (Orig)'!G52+'OCK 2012 Budget'!G43+'PR Company'!G40</f>
        <v>255000</v>
      </c>
      <c r="H43" s="55">
        <f>+'MEIL 2012 Budget (Orig)'!H52+'OCK 2012 Budget'!H43+'PR Company'!H40</f>
        <v>255000</v>
      </c>
      <c r="I43" s="55">
        <f>+'MEIL 2012 Budget (Orig)'!I52+'OCK 2012 Budget'!I43+'PR Company'!I40</f>
        <v>255000</v>
      </c>
      <c r="J43" s="55">
        <f>+'MEIL 2012 Budget (Orig)'!J52+'OCK 2012 Budget'!J43+'PR Company'!J40</f>
        <v>255000</v>
      </c>
      <c r="K43" s="55">
        <f>+'MEIL 2012 Budget (Orig)'!K52+'OCK 2012 Budget'!K43+'PR Company'!K40</f>
        <v>255000</v>
      </c>
      <c r="L43" s="55">
        <f>+'MEIL 2012 Budget (Orig)'!L52+'OCK 2012 Budget'!L43+'PR Company'!L40</f>
        <v>255000</v>
      </c>
      <c r="M43" s="55">
        <f>+'MEIL 2012 Budget (Orig)'!M52+'OCK 2012 Budget'!M43+'PR Company'!M40</f>
        <v>255000</v>
      </c>
      <c r="N43" s="56">
        <f t="shared" si="5"/>
        <v>3060000</v>
      </c>
      <c r="O43" s="157">
        <v>240000</v>
      </c>
      <c r="P43" s="70">
        <f t="shared" si="6"/>
        <v>2820000</v>
      </c>
    </row>
    <row r="44" spans="1:16" s="147" customFormat="1" ht="16.5" customHeight="1" x14ac:dyDescent="0.25">
      <c r="A44" s="140" t="s">
        <v>28</v>
      </c>
      <c r="B44" s="55">
        <f>+'MEIL 2012 Budget (Orig)'!B53+'OCK 2012 Budget'!B44+'PR Company'!B41</f>
        <v>30000</v>
      </c>
      <c r="C44" s="55">
        <f>+'MEIL 2012 Budget (Orig)'!C53+'OCK 2012 Budget'!C44+'PR Company'!C41</f>
        <v>30000</v>
      </c>
      <c r="D44" s="55">
        <f>+'MEIL 2012 Budget (Orig)'!D53+'OCK 2012 Budget'!D44+'PR Company'!D41</f>
        <v>30000</v>
      </c>
      <c r="E44" s="55">
        <f>+'MEIL 2012 Budget (Orig)'!E53+'OCK 2012 Budget'!E44+'PR Company'!E41</f>
        <v>30000</v>
      </c>
      <c r="F44" s="55">
        <f>+'MEIL 2012 Budget (Orig)'!F53+'OCK 2012 Budget'!F44+'PR Company'!F41</f>
        <v>30000</v>
      </c>
      <c r="G44" s="55">
        <f>+'MEIL 2012 Budget (Orig)'!G53+'OCK 2012 Budget'!G44+'PR Company'!G41</f>
        <v>30000</v>
      </c>
      <c r="H44" s="55">
        <f>+'MEIL 2012 Budget (Orig)'!H53+'OCK 2012 Budget'!H44+'PR Company'!H41</f>
        <v>30000</v>
      </c>
      <c r="I44" s="55">
        <f>+'MEIL 2012 Budget (Orig)'!I53+'OCK 2012 Budget'!I44+'PR Company'!I41</f>
        <v>30000</v>
      </c>
      <c r="J44" s="55">
        <f>+'MEIL 2012 Budget (Orig)'!J53+'OCK 2012 Budget'!J44+'PR Company'!J41</f>
        <v>30000</v>
      </c>
      <c r="K44" s="55">
        <f>+'MEIL 2012 Budget (Orig)'!K53+'OCK 2012 Budget'!K44+'PR Company'!K41</f>
        <v>30000</v>
      </c>
      <c r="L44" s="55">
        <f>+'MEIL 2012 Budget (Orig)'!L53+'OCK 2012 Budget'!L44+'PR Company'!L41</f>
        <v>30000</v>
      </c>
      <c r="M44" s="55">
        <f>+'MEIL 2012 Budget (Orig)'!M53+'OCK 2012 Budget'!M44+'PR Company'!M41</f>
        <v>30000</v>
      </c>
      <c r="N44" s="56">
        <f t="shared" si="5"/>
        <v>360000</v>
      </c>
      <c r="O44" s="157">
        <v>420000</v>
      </c>
      <c r="P44" s="70">
        <f t="shared" si="6"/>
        <v>-60000</v>
      </c>
    </row>
    <row r="45" spans="1:16" s="147" customFormat="1" ht="16.5" customHeight="1" x14ac:dyDescent="0.25">
      <c r="A45" s="140" t="s">
        <v>29</v>
      </c>
      <c r="B45" s="55">
        <f>+'MEIL 2012 Budget (Orig)'!B54+'OCK 2012 Budget'!B45+'PR Company'!B42</f>
        <v>70000</v>
      </c>
      <c r="C45" s="55">
        <f>+'MEIL 2012 Budget (Orig)'!C54+'OCK 2012 Budget'!C45+'PR Company'!C42</f>
        <v>70000</v>
      </c>
      <c r="D45" s="55">
        <f>+'MEIL 2012 Budget (Orig)'!D54+'OCK 2012 Budget'!D45+'PR Company'!D42</f>
        <v>70000</v>
      </c>
      <c r="E45" s="55">
        <f>+'MEIL 2012 Budget (Orig)'!E54+'OCK 2012 Budget'!E45+'PR Company'!E42</f>
        <v>70000</v>
      </c>
      <c r="F45" s="55">
        <f>+'MEIL 2012 Budget (Orig)'!F54+'OCK 2012 Budget'!F45+'PR Company'!F42</f>
        <v>70000</v>
      </c>
      <c r="G45" s="55">
        <f>+'MEIL 2012 Budget (Orig)'!G54+'OCK 2012 Budget'!G45+'PR Company'!G42</f>
        <v>70000</v>
      </c>
      <c r="H45" s="55">
        <f>+'MEIL 2012 Budget (Orig)'!H54+'OCK 2012 Budget'!H45+'PR Company'!H42</f>
        <v>70000</v>
      </c>
      <c r="I45" s="55">
        <f>+'MEIL 2012 Budget (Orig)'!I54+'OCK 2012 Budget'!I45+'PR Company'!I42</f>
        <v>70000</v>
      </c>
      <c r="J45" s="55">
        <f>+'MEIL 2012 Budget (Orig)'!J54+'OCK 2012 Budget'!J45+'PR Company'!J42</f>
        <v>70000</v>
      </c>
      <c r="K45" s="55">
        <f>+'MEIL 2012 Budget (Orig)'!K54+'OCK 2012 Budget'!K45+'PR Company'!K42</f>
        <v>70000</v>
      </c>
      <c r="L45" s="55">
        <f>+'MEIL 2012 Budget (Orig)'!L54+'OCK 2012 Budget'!L45+'PR Company'!L42</f>
        <v>70000</v>
      </c>
      <c r="M45" s="55">
        <f>+'MEIL 2012 Budget (Orig)'!M54+'OCK 2012 Budget'!M45+'PR Company'!M42</f>
        <v>70000</v>
      </c>
      <c r="N45" s="56">
        <f t="shared" si="5"/>
        <v>840000</v>
      </c>
      <c r="O45" s="157">
        <v>300000</v>
      </c>
      <c r="P45" s="70">
        <f t="shared" si="6"/>
        <v>540000</v>
      </c>
    </row>
    <row r="46" spans="1:16" s="147" customFormat="1" ht="16.5" customHeight="1" x14ac:dyDescent="0.25">
      <c r="A46" s="140" t="s">
        <v>30</v>
      </c>
      <c r="B46" s="55">
        <f>+'MEIL 2012 Budget (Orig)'!B55+'OCK 2012 Budget'!B46+'PR Company'!B43</f>
        <v>8220000</v>
      </c>
      <c r="C46" s="55">
        <f>+'MEIL 2012 Budget (Orig)'!C55+'OCK 2012 Budget'!C46+'PR Company'!C43</f>
        <v>8220000</v>
      </c>
      <c r="D46" s="55">
        <f>+'MEIL 2012 Budget (Orig)'!D55+'OCK 2012 Budget'!D46+'PR Company'!D43</f>
        <v>8220000</v>
      </c>
      <c r="E46" s="55">
        <f>+'MEIL 2012 Budget (Orig)'!E55+'OCK 2012 Budget'!E46+'PR Company'!E43</f>
        <v>8545000</v>
      </c>
      <c r="F46" s="55">
        <f>+'MEIL 2012 Budget (Orig)'!F55+'OCK 2012 Budget'!F46+'PR Company'!F43</f>
        <v>8545000</v>
      </c>
      <c r="G46" s="55">
        <f>+'MEIL 2012 Budget (Orig)'!G55+'OCK 2012 Budget'!G46+'PR Company'!G43</f>
        <v>8545000</v>
      </c>
      <c r="H46" s="55">
        <f>+'MEIL 2012 Budget (Orig)'!H55+'OCK 2012 Budget'!H46+'PR Company'!H43</f>
        <v>8545000</v>
      </c>
      <c r="I46" s="55">
        <f>+'MEIL 2012 Budget (Orig)'!I55+'OCK 2012 Budget'!I46+'PR Company'!I43</f>
        <v>8545000</v>
      </c>
      <c r="J46" s="55">
        <f>+'MEIL 2012 Budget (Orig)'!J55+'OCK 2012 Budget'!J46+'PR Company'!J43</f>
        <v>8845000</v>
      </c>
      <c r="K46" s="55">
        <f>+'MEIL 2012 Budget (Orig)'!K55+'OCK 2012 Budget'!K46+'PR Company'!K43</f>
        <v>8845000</v>
      </c>
      <c r="L46" s="55">
        <f>+'MEIL 2012 Budget (Orig)'!L55+'OCK 2012 Budget'!L46+'PR Company'!L43</f>
        <v>8845000</v>
      </c>
      <c r="M46" s="55">
        <f>+'MEIL 2012 Budget (Orig)'!M55+'OCK 2012 Budget'!M46+'PR Company'!M43</f>
        <v>8845000</v>
      </c>
      <c r="N46" s="56">
        <f t="shared" si="5"/>
        <v>102765000</v>
      </c>
      <c r="O46" s="157">
        <v>180000</v>
      </c>
      <c r="P46" s="70">
        <f t="shared" si="6"/>
        <v>102585000</v>
      </c>
    </row>
    <row r="47" spans="1:16" s="147" customFormat="1" ht="16.5" customHeight="1" x14ac:dyDescent="0.25">
      <c r="A47" s="140" t="s">
        <v>4</v>
      </c>
      <c r="B47" s="55">
        <f>+'MEIL 2012 Budget (Orig)'!B56+'OCK 2012 Budget'!B47+'PR Company'!B44</f>
        <v>2501.2760897113217</v>
      </c>
      <c r="C47" s="55">
        <f>+'MEIL 2012 Budget (Orig)'!C56+'OCK 2012 Budget'!C47+'PR Company'!C44</f>
        <v>2500.9520410851305</v>
      </c>
      <c r="D47" s="55">
        <f>+'MEIL 2012 Budget (Orig)'!D56+'OCK 2012 Budget'!D47+'PR Company'!D44</f>
        <v>2501.0426014832501</v>
      </c>
      <c r="E47" s="55">
        <f>+'MEIL 2012 Budget (Orig)'!E56+'OCK 2012 Budget'!E47+'PR Company'!E44</f>
        <v>2501.0523773219084</v>
      </c>
      <c r="F47" s="55">
        <f>+'MEIL 2012 Budget (Orig)'!F56+'OCK 2012 Budget'!F47+'PR Company'!F44</f>
        <v>2501.1550140070558</v>
      </c>
      <c r="G47" s="55">
        <f>+'MEIL 2012 Budget (Orig)'!G56+'OCK 2012 Budget'!G47+'PR Company'!G44</f>
        <v>2500.7886758944387</v>
      </c>
      <c r="H47" s="55">
        <f>+'MEIL 2012 Budget (Orig)'!H56+'OCK 2012 Budget'!H47+'PR Company'!H44</f>
        <v>2500.7838400466676</v>
      </c>
      <c r="I47" s="55">
        <f>+'MEIL 2012 Budget (Orig)'!I56+'OCK 2012 Budget'!I47+'PR Company'!I44</f>
        <v>2500.6233728712245</v>
      </c>
      <c r="J47" s="55">
        <f>+'MEIL 2012 Budget (Orig)'!J56+'OCK 2012 Budget'!J47+'PR Company'!J44</f>
        <v>2500.6070512209649</v>
      </c>
      <c r="K47" s="55">
        <f>+'MEIL 2012 Budget (Orig)'!K56+'OCK 2012 Budget'!K47+'PR Company'!K44</f>
        <v>2500.7785207063234</v>
      </c>
      <c r="L47" s="55">
        <f>+'MEIL 2012 Budget (Orig)'!L56+'OCK 2012 Budget'!L47+'PR Company'!L44</f>
        <v>2500.7636237095858</v>
      </c>
      <c r="M47" s="55">
        <f>+'MEIL 2012 Budget (Orig)'!M56+'OCK 2012 Budget'!M47+'PR Company'!M44</f>
        <v>2500.6890677614765</v>
      </c>
      <c r="N47" s="56">
        <f t="shared" si="5"/>
        <v>30010.51227581935</v>
      </c>
      <c r="O47" s="157">
        <v>120000</v>
      </c>
      <c r="P47" s="70">
        <f t="shared" si="6"/>
        <v>-89989.487724180653</v>
      </c>
    </row>
    <row r="48" spans="1:16" s="147" customFormat="1" ht="16.5" customHeight="1" x14ac:dyDescent="0.25">
      <c r="A48" s="156" t="s">
        <v>31</v>
      </c>
      <c r="B48" s="64">
        <f t="shared" ref="B48:P48" si="7">SUM(B19:B47)</f>
        <v>17947167.942756381</v>
      </c>
      <c r="C48" s="64">
        <f t="shared" si="7"/>
        <v>17947167.618707754</v>
      </c>
      <c r="D48" s="64">
        <f t="shared" si="7"/>
        <v>17947167.709268153</v>
      </c>
      <c r="E48" s="64">
        <f t="shared" si="7"/>
        <v>18597167.719043989</v>
      </c>
      <c r="F48" s="64">
        <f t="shared" si="7"/>
        <v>18597167.821680676</v>
      </c>
      <c r="G48" s="64">
        <f t="shared" si="7"/>
        <v>18597167.455342561</v>
      </c>
      <c r="H48" s="64">
        <f t="shared" si="7"/>
        <v>18597167.450506713</v>
      </c>
      <c r="I48" s="64">
        <f t="shared" si="7"/>
        <v>18597167.290039539</v>
      </c>
      <c r="J48" s="64">
        <f>SUM(J19:J47)</f>
        <v>19197167.273717888</v>
      </c>
      <c r="K48" s="64">
        <f t="shared" si="7"/>
        <v>19197167.445187375</v>
      </c>
      <c r="L48" s="64">
        <f t="shared" si="7"/>
        <v>19197167.430290379</v>
      </c>
      <c r="M48" s="64">
        <f t="shared" si="7"/>
        <v>19197167.35573443</v>
      </c>
      <c r="N48" s="65">
        <f t="shared" si="7"/>
        <v>223616010.51227582</v>
      </c>
      <c r="O48" s="162">
        <f t="shared" si="7"/>
        <v>9600000</v>
      </c>
      <c r="P48" s="64">
        <f t="shared" si="7"/>
        <v>214016010.51227582</v>
      </c>
    </row>
    <row r="49" spans="1:16" s="147" customFormat="1" ht="16.5" customHeight="1" x14ac:dyDescent="0.25">
      <c r="A49" s="89" t="s">
        <v>110</v>
      </c>
      <c r="B49" s="166">
        <f>B48/B9</f>
        <v>10.113992221285327</v>
      </c>
      <c r="C49" s="166">
        <f>C48/C9</f>
        <v>10.113992038670149</v>
      </c>
      <c r="D49" s="166">
        <f t="shared" ref="D49:P49" si="8">D48/D16</f>
        <v>-2.6796582223992149</v>
      </c>
      <c r="E49" s="166">
        <f t="shared" si="8"/>
        <v>-2.8022113988908961</v>
      </c>
      <c r="F49" s="166">
        <f t="shared" si="8"/>
        <v>-3.1438065328066771</v>
      </c>
      <c r="G49" s="166">
        <f t="shared" si="8"/>
        <v>-1.9890189552283353</v>
      </c>
      <c r="H49" s="166">
        <f t="shared" si="8"/>
        <v>-2.048901043521429</v>
      </c>
      <c r="I49" s="166">
        <f t="shared" si="8"/>
        <v>-1.5652546672186411</v>
      </c>
      <c r="J49" s="166">
        <f t="shared" si="8"/>
        <v>-1.5063959286758184</v>
      </c>
      <c r="K49" s="166">
        <f t="shared" si="8"/>
        <v>-2.0732581403443304</v>
      </c>
      <c r="L49" s="166">
        <f t="shared" si="8"/>
        <v>-2.0248181899439217</v>
      </c>
      <c r="M49" s="166">
        <f t="shared" si="8"/>
        <v>-1.7885317609684599</v>
      </c>
      <c r="N49" s="166">
        <f t="shared" si="8"/>
        <v>-2.1403167222982424</v>
      </c>
      <c r="O49" s="166">
        <f t="shared" si="8"/>
        <v>-1</v>
      </c>
      <c r="P49" s="166">
        <f t="shared" si="8"/>
        <v>-1.876049812516662</v>
      </c>
    </row>
    <row r="50" spans="1:16" s="147" customFormat="1" ht="16.5" customHeight="1" x14ac:dyDescent="0.25">
      <c r="A50" s="120" t="s">
        <v>45</v>
      </c>
      <c r="B50" s="85">
        <f t="shared" ref="B50:N50" si="9">B16-B48</f>
        <v>-23203032.708305322</v>
      </c>
      <c r="C50" s="85">
        <f t="shared" si="9"/>
        <v>-25394226.508015513</v>
      </c>
      <c r="D50" s="85">
        <f t="shared" si="9"/>
        <v>-24644726.211038306</v>
      </c>
      <c r="E50" s="85">
        <f t="shared" si="9"/>
        <v>-25233771.840490598</v>
      </c>
      <c r="F50" s="85">
        <f t="shared" si="9"/>
        <v>-24512661.54803215</v>
      </c>
      <c r="G50" s="85">
        <f t="shared" si="9"/>
        <v>-27947087.12627282</v>
      </c>
      <c r="H50" s="85">
        <f t="shared" si="9"/>
        <v>-27673822.230546221</v>
      </c>
      <c r="I50" s="85">
        <f t="shared" si="9"/>
        <v>-30478407.882719278</v>
      </c>
      <c r="J50" s="85">
        <f t="shared" si="9"/>
        <v>-31940939.948802687</v>
      </c>
      <c r="K50" s="85">
        <f t="shared" si="9"/>
        <v>-28456587.230703846</v>
      </c>
      <c r="L50" s="85">
        <f t="shared" si="9"/>
        <v>-28678101.33617457</v>
      </c>
      <c r="M50" s="85">
        <f t="shared" si="9"/>
        <v>-29930645.941174529</v>
      </c>
      <c r="N50" s="83">
        <f t="shared" si="9"/>
        <v>-328094010.51227582</v>
      </c>
      <c r="O50" s="167"/>
      <c r="P50" s="85">
        <f>P16-P48</f>
        <v>-328094010.51227582</v>
      </c>
    </row>
    <row r="51" spans="1:16" s="147" customFormat="1" ht="16.5" customHeight="1" x14ac:dyDescent="0.25">
      <c r="A51" s="140" t="s">
        <v>46</v>
      </c>
      <c r="B51" s="55">
        <f>0.3*B50</f>
        <v>-6960909.8124915967</v>
      </c>
      <c r="C51" s="55">
        <f t="shared" ref="C51:N51" si="10">0.3*C50</f>
        <v>-7618267.9524046537</v>
      </c>
      <c r="D51" s="55">
        <f t="shared" si="10"/>
        <v>-7393417.8633114919</v>
      </c>
      <c r="E51" s="55">
        <f t="shared" si="10"/>
        <v>-7570131.5521471789</v>
      </c>
      <c r="F51" s="55">
        <f t="shared" si="10"/>
        <v>-7353798.4644096447</v>
      </c>
      <c r="G51" s="55">
        <f t="shared" si="10"/>
        <v>-8384126.1378818452</v>
      </c>
      <c r="H51" s="55">
        <f t="shared" si="10"/>
        <v>-8302146.669163866</v>
      </c>
      <c r="I51" s="55">
        <f t="shared" si="10"/>
        <v>-9143522.3648157828</v>
      </c>
      <c r="J51" s="55">
        <f t="shared" si="10"/>
        <v>-9582281.9846408051</v>
      </c>
      <c r="K51" s="55">
        <f t="shared" si="10"/>
        <v>-8536976.1692111529</v>
      </c>
      <c r="L51" s="55">
        <f t="shared" si="10"/>
        <v>-8603430.400852371</v>
      </c>
      <c r="M51" s="55">
        <f t="shared" si="10"/>
        <v>-8979193.7823523581</v>
      </c>
      <c r="N51" s="56">
        <f t="shared" si="10"/>
        <v>-98428203.153682739</v>
      </c>
      <c r="O51" s="157"/>
      <c r="P51" s="70">
        <f>0.3*P50</f>
        <v>-98428203.153682739</v>
      </c>
    </row>
    <row r="52" spans="1:16" s="147" customFormat="1" ht="16.5" customHeight="1" x14ac:dyDescent="0.25">
      <c r="A52" s="120" t="s">
        <v>47</v>
      </c>
      <c r="B52" s="85">
        <f>B50-B51</f>
        <v>-16242122.895813726</v>
      </c>
      <c r="C52" s="85">
        <f t="shared" ref="C52:N52" si="11">C50-C51</f>
        <v>-17775958.555610858</v>
      </c>
      <c r="D52" s="85">
        <f t="shared" si="11"/>
        <v>-17251308.347726814</v>
      </c>
      <c r="E52" s="85">
        <f t="shared" si="11"/>
        <v>-17663640.288343418</v>
      </c>
      <c r="F52" s="85">
        <f t="shared" si="11"/>
        <v>-17158863.083622504</v>
      </c>
      <c r="G52" s="85">
        <f t="shared" si="11"/>
        <v>-19562960.988390975</v>
      </c>
      <c r="H52" s="85">
        <f t="shared" si="11"/>
        <v>-19371675.561382353</v>
      </c>
      <c r="I52" s="85">
        <f t="shared" si="11"/>
        <v>-21334885.517903496</v>
      </c>
      <c r="J52" s="85">
        <f t="shared" si="11"/>
        <v>-22358657.96416188</v>
      </c>
      <c r="K52" s="85">
        <f t="shared" si="11"/>
        <v>-19919611.061492693</v>
      </c>
      <c r="L52" s="85">
        <f t="shared" si="11"/>
        <v>-20074670.935322199</v>
      </c>
      <c r="M52" s="85">
        <f t="shared" si="11"/>
        <v>-20951452.158822171</v>
      </c>
      <c r="N52" s="83">
        <f t="shared" si="11"/>
        <v>-229665807.35859308</v>
      </c>
      <c r="O52" s="167"/>
      <c r="P52" s="85">
        <f>P50-P51</f>
        <v>-229665807.35859308</v>
      </c>
    </row>
    <row r="53" spans="1:16" s="147" customFormat="1" ht="16.5" customHeight="1" x14ac:dyDescent="0.25">
      <c r="A53" s="89" t="s">
        <v>109</v>
      </c>
      <c r="B53" s="168">
        <f>B52/B9</f>
        <v>-9.1531268414815337</v>
      </c>
      <c r="C53" s="168">
        <f>C52/C9</f>
        <v>-10.017508452073164</v>
      </c>
      <c r="D53" s="168">
        <f t="shared" ref="D53:P53" si="12">D52/D16</f>
        <v>2.5757607556794504</v>
      </c>
      <c r="E53" s="168">
        <f t="shared" si="12"/>
        <v>2.6615479792236272</v>
      </c>
      <c r="F53" s="168">
        <f t="shared" si="12"/>
        <v>2.9006645729646738</v>
      </c>
      <c r="G53" s="168">
        <f t="shared" si="12"/>
        <v>2.0923132686598351</v>
      </c>
      <c r="H53" s="168">
        <f t="shared" si="12"/>
        <v>2.1342307304650001</v>
      </c>
      <c r="I53" s="168">
        <f t="shared" si="12"/>
        <v>1.7956782670530489</v>
      </c>
      <c r="J53" s="168">
        <f t="shared" si="12"/>
        <v>1.7544771500730727</v>
      </c>
      <c r="K53" s="168">
        <f t="shared" si="12"/>
        <v>2.1512806982410311</v>
      </c>
      <c r="L53" s="168">
        <f t="shared" si="12"/>
        <v>2.117372732960745</v>
      </c>
      <c r="M53" s="168">
        <f t="shared" si="12"/>
        <v>1.9519722326779221</v>
      </c>
      <c r="N53" s="168">
        <f t="shared" si="12"/>
        <v>2.1982217056087694</v>
      </c>
      <c r="O53" s="168">
        <f t="shared" si="12"/>
        <v>0</v>
      </c>
      <c r="P53" s="168">
        <f t="shared" si="12"/>
        <v>2.0132348687616632</v>
      </c>
    </row>
    <row r="54" spans="1:16" s="147" customFormat="1" ht="16.5" customHeight="1" x14ac:dyDescent="0.25">
      <c r="A54" s="99" t="s">
        <v>91</v>
      </c>
      <c r="B54" s="169"/>
      <c r="C54" s="169"/>
      <c r="D54" s="169"/>
      <c r="E54" s="169"/>
      <c r="F54" s="169"/>
      <c r="G54" s="169"/>
      <c r="H54" s="169"/>
      <c r="I54" s="169"/>
      <c r="J54" s="169"/>
      <c r="K54" s="169"/>
      <c r="L54" s="169"/>
      <c r="M54" s="169"/>
      <c r="N54" s="169"/>
      <c r="O54" s="170"/>
      <c r="P54" s="96"/>
    </row>
    <row r="55" spans="1:16" s="147" customFormat="1" ht="16.5" customHeight="1" x14ac:dyDescent="0.25">
      <c r="A55" s="99" t="s">
        <v>93</v>
      </c>
      <c r="B55" s="169"/>
      <c r="C55" s="169"/>
      <c r="D55" s="169"/>
      <c r="E55" s="169"/>
      <c r="F55" s="169"/>
      <c r="G55" s="169"/>
      <c r="H55" s="169"/>
      <c r="I55" s="169"/>
      <c r="J55" s="169"/>
      <c r="K55" s="169"/>
      <c r="L55" s="169"/>
      <c r="M55" s="169"/>
      <c r="N55" s="169"/>
      <c r="O55" s="171"/>
    </row>
    <row r="56" spans="1:16" s="147" customFormat="1" ht="16.5" customHeight="1" x14ac:dyDescent="0.25">
      <c r="A56" s="99" t="s">
        <v>94</v>
      </c>
      <c r="N56" s="172"/>
      <c r="O56" s="171"/>
    </row>
    <row r="57" spans="1:16" ht="16.5" customHeight="1" x14ac:dyDescent="0.25"/>
    <row r="58" spans="1:16" ht="16.5" customHeight="1" x14ac:dyDescent="0.25"/>
    <row r="59" spans="1:16" ht="16.5" customHeight="1" x14ac:dyDescent="0.25"/>
  </sheetData>
  <mergeCells count="1">
    <mergeCell ref="A2:N2"/>
  </mergeCells>
  <pageMargins left="0.70866141732283505" right="0.511811023622047" top="0.31496062992126" bottom="0.31496062992126" header="0.31496062992126" footer="0.31496062992126"/>
  <pageSetup paperSize="9" scale="6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4"/>
  <sheetViews>
    <sheetView showGridLines="0" workbookViewId="0">
      <pane xSplit="1" ySplit="3" topLeftCell="B40" activePane="bottomRight" state="frozen"/>
      <selection pane="topRight"/>
      <selection pane="bottomLeft"/>
      <selection pane="bottomRight" activeCell="D38" sqref="D38"/>
    </sheetView>
  </sheetViews>
  <sheetFormatPr defaultColWidth="9.1796875" defaultRowHeight="12.5" x14ac:dyDescent="0.25"/>
  <cols>
    <col min="1" max="1" width="39.453125" style="100" customWidth="1"/>
    <col min="2" max="13" width="11" style="100" customWidth="1"/>
    <col min="14" max="14" width="15.26953125" style="96" customWidth="1"/>
    <col min="15" max="16384" width="9.1796875" style="100"/>
  </cols>
  <sheetData>
    <row r="1" spans="1:14" s="101" customFormat="1" ht="24.75" customHeight="1" x14ac:dyDescent="0.3">
      <c r="A1" s="588" t="s">
        <v>130</v>
      </c>
      <c r="B1" s="588"/>
      <c r="C1" s="588"/>
      <c r="D1" s="588"/>
      <c r="E1" s="588"/>
      <c r="F1" s="588"/>
      <c r="G1" s="588"/>
      <c r="H1" s="588"/>
      <c r="I1" s="588"/>
      <c r="J1" s="588"/>
      <c r="K1" s="588"/>
      <c r="L1" s="588"/>
      <c r="M1" s="588"/>
      <c r="N1" s="588"/>
    </row>
    <row r="2" spans="1:14" s="101" customFormat="1" ht="24.75" customHeight="1" x14ac:dyDescent="0.3">
      <c r="A2" s="115" t="s">
        <v>111</v>
      </c>
      <c r="B2" s="116"/>
      <c r="C2" s="116"/>
      <c r="D2" s="116"/>
      <c r="E2" s="116"/>
      <c r="F2" s="116"/>
      <c r="G2" s="116"/>
      <c r="H2" s="116"/>
      <c r="I2" s="116"/>
      <c r="J2" s="116"/>
      <c r="K2" s="116"/>
      <c r="L2" s="116"/>
      <c r="M2" s="116"/>
      <c r="N2" s="117"/>
    </row>
    <row r="3" spans="1:14" s="99" customFormat="1" ht="15" customHeight="1" x14ac:dyDescent="0.25">
      <c r="B3" s="173">
        <v>40544</v>
      </c>
      <c r="C3" s="173">
        <v>40575</v>
      </c>
      <c r="D3" s="173">
        <v>40603</v>
      </c>
      <c r="E3" s="173">
        <v>40634</v>
      </c>
      <c r="F3" s="173">
        <v>40664</v>
      </c>
      <c r="G3" s="173">
        <v>40695</v>
      </c>
      <c r="H3" s="173">
        <v>40725</v>
      </c>
      <c r="I3" s="173">
        <v>40756</v>
      </c>
      <c r="J3" s="173">
        <v>40787</v>
      </c>
      <c r="K3" s="173">
        <v>40817</v>
      </c>
      <c r="L3" s="173">
        <v>40848</v>
      </c>
      <c r="M3" s="173">
        <v>40878</v>
      </c>
      <c r="N3" s="149" t="s">
        <v>0</v>
      </c>
    </row>
    <row r="4" spans="1:14" ht="15" customHeight="1" x14ac:dyDescent="0.25">
      <c r="A4" s="120" t="s">
        <v>101</v>
      </c>
      <c r="B4" s="174"/>
      <c r="C4" s="174"/>
      <c r="D4" s="174"/>
      <c r="E4" s="174"/>
      <c r="F4" s="174"/>
      <c r="G4" s="174"/>
      <c r="H4" s="174"/>
      <c r="I4" s="174"/>
      <c r="J4" s="174"/>
      <c r="K4" s="174"/>
      <c r="L4" s="174"/>
      <c r="M4" s="174"/>
      <c r="N4" s="155"/>
    </row>
    <row r="5" spans="1:14" s="48" customFormat="1" ht="15.75" customHeight="1" x14ac:dyDescent="0.25">
      <c r="A5" s="122" t="s">
        <v>131</v>
      </c>
      <c r="B5" s="55">
        <v>1217656.01217656</v>
      </c>
      <c r="C5" s="55">
        <v>1217656.01217656</v>
      </c>
      <c r="D5" s="55">
        <v>1217656.01217656</v>
      </c>
      <c r="E5" s="55">
        <v>1522070.0152207001</v>
      </c>
      <c r="F5" s="55">
        <v>1522070.0152207001</v>
      </c>
      <c r="G5" s="55">
        <v>1522070.0152207001</v>
      </c>
      <c r="H5" s="55">
        <v>1826484.0182648401</v>
      </c>
      <c r="I5" s="55">
        <v>1826484.0182648401</v>
      </c>
      <c r="J5" s="55">
        <v>1826484.0182648401</v>
      </c>
      <c r="K5" s="55">
        <v>2100456.6210045656</v>
      </c>
      <c r="L5" s="55">
        <v>2100456.6210045656</v>
      </c>
      <c r="M5" s="55">
        <v>2100456.6210045656</v>
      </c>
      <c r="N5" s="70">
        <f>SUM(B5:M5)</f>
        <v>19999999.999999996</v>
      </c>
    </row>
    <row r="6" spans="1:14" s="48" customFormat="1" ht="30.75" customHeight="1" x14ac:dyDescent="0.25">
      <c r="A6" s="122"/>
      <c r="B6" s="55"/>
      <c r="C6" s="55"/>
      <c r="D6" s="55"/>
      <c r="E6" s="55"/>
      <c r="F6" s="55"/>
      <c r="G6" s="55"/>
      <c r="H6" s="55"/>
      <c r="I6" s="55"/>
      <c r="J6" s="55"/>
      <c r="K6" s="55"/>
      <c r="L6" s="55"/>
      <c r="M6" s="55"/>
      <c r="N6" s="70"/>
    </row>
    <row r="7" spans="1:14" s="96" customFormat="1" ht="15.75" customHeight="1" x14ac:dyDescent="0.25">
      <c r="A7" s="120" t="s">
        <v>102</v>
      </c>
      <c r="B7" s="175">
        <f t="shared" ref="B7:M7" si="0">SUM(B5:B6)</f>
        <v>1217656.01217656</v>
      </c>
      <c r="C7" s="175">
        <f t="shared" si="0"/>
        <v>1217656.01217656</v>
      </c>
      <c r="D7" s="175">
        <f t="shared" si="0"/>
        <v>1217656.01217656</v>
      </c>
      <c r="E7" s="175">
        <f t="shared" si="0"/>
        <v>1522070.0152207001</v>
      </c>
      <c r="F7" s="175">
        <f t="shared" si="0"/>
        <v>1522070.0152207001</v>
      </c>
      <c r="G7" s="175">
        <f t="shared" si="0"/>
        <v>1522070.0152207001</v>
      </c>
      <c r="H7" s="175">
        <f t="shared" si="0"/>
        <v>1826484.0182648401</v>
      </c>
      <c r="I7" s="175">
        <f t="shared" si="0"/>
        <v>1826484.0182648401</v>
      </c>
      <c r="J7" s="175">
        <f t="shared" si="0"/>
        <v>1826484.0182648401</v>
      </c>
      <c r="K7" s="175">
        <f t="shared" si="0"/>
        <v>2100456.6210045656</v>
      </c>
      <c r="L7" s="175">
        <f t="shared" si="0"/>
        <v>2100456.6210045656</v>
      </c>
      <c r="M7" s="175">
        <f t="shared" si="0"/>
        <v>2100456.6210045656</v>
      </c>
      <c r="N7" s="64">
        <f>SUM(B7:M7)</f>
        <v>19999999.999999996</v>
      </c>
    </row>
    <row r="8" spans="1:14" ht="15" customHeight="1" x14ac:dyDescent="0.25">
      <c r="B8" s="152"/>
      <c r="C8" s="152"/>
      <c r="D8" s="152"/>
      <c r="E8" s="152"/>
      <c r="F8" s="152"/>
      <c r="G8" s="152"/>
      <c r="H8" s="152"/>
      <c r="I8" s="152"/>
      <c r="J8" s="152"/>
      <c r="K8" s="152"/>
      <c r="L8" s="152"/>
      <c r="M8" s="152"/>
      <c r="N8" s="176"/>
    </row>
    <row r="9" spans="1:14" ht="15" customHeight="1" x14ac:dyDescent="0.25">
      <c r="A9" s="96" t="s">
        <v>43</v>
      </c>
      <c r="B9" s="58">
        <f t="shared" ref="B9:M9" si="1">0.15*B5</f>
        <v>182648.40182648398</v>
      </c>
      <c r="C9" s="58">
        <f t="shared" si="1"/>
        <v>182648.40182648398</v>
      </c>
      <c r="D9" s="58">
        <f t="shared" si="1"/>
        <v>182648.40182648398</v>
      </c>
      <c r="E9" s="58">
        <f t="shared" si="1"/>
        <v>228310.50228310502</v>
      </c>
      <c r="F9" s="58">
        <f t="shared" si="1"/>
        <v>228310.50228310502</v>
      </c>
      <c r="G9" s="58">
        <f t="shared" si="1"/>
        <v>228310.50228310502</v>
      </c>
      <c r="H9" s="58">
        <f t="shared" si="1"/>
        <v>273972.60273972602</v>
      </c>
      <c r="I9" s="58">
        <f t="shared" si="1"/>
        <v>273972.60273972602</v>
      </c>
      <c r="J9" s="58">
        <f t="shared" si="1"/>
        <v>273972.60273972602</v>
      </c>
      <c r="K9" s="58">
        <f t="shared" si="1"/>
        <v>315068.49315068481</v>
      </c>
      <c r="L9" s="58">
        <f t="shared" si="1"/>
        <v>315068.49315068481</v>
      </c>
      <c r="M9" s="58">
        <f t="shared" si="1"/>
        <v>315068.49315068481</v>
      </c>
      <c r="N9" s="70">
        <f>SUM(B9:M9)</f>
        <v>2999999.9999999995</v>
      </c>
    </row>
    <row r="10" spans="1:14" s="48" customFormat="1" ht="15.75" customHeight="1" x14ac:dyDescent="0.25">
      <c r="A10" s="122"/>
      <c r="B10" s="55"/>
      <c r="C10" s="55"/>
      <c r="D10" s="55"/>
      <c r="E10" s="55"/>
      <c r="F10" s="55"/>
      <c r="G10" s="55"/>
      <c r="H10" s="55"/>
      <c r="I10" s="55"/>
      <c r="J10" s="55"/>
      <c r="K10" s="55"/>
      <c r="L10" s="55"/>
      <c r="M10" s="55"/>
      <c r="N10" s="70"/>
    </row>
    <row r="11" spans="1:14" s="48" customFormat="1" ht="15.75" customHeight="1" x14ac:dyDescent="0.25">
      <c r="A11" s="122"/>
      <c r="B11" s="55"/>
      <c r="C11" s="55"/>
      <c r="D11" s="55"/>
      <c r="E11" s="55"/>
      <c r="F11" s="55"/>
      <c r="G11" s="55"/>
      <c r="H11" s="55"/>
      <c r="I11" s="55"/>
      <c r="J11" s="55"/>
      <c r="K11" s="55"/>
      <c r="L11" s="55"/>
      <c r="M11" s="55"/>
      <c r="N11" s="70"/>
    </row>
    <row r="12" spans="1:14" s="96" customFormat="1" ht="15.75" customHeight="1" x14ac:dyDescent="0.25">
      <c r="A12" s="120" t="s">
        <v>44</v>
      </c>
      <c r="B12" s="175">
        <f>SUM(B9:B11)</f>
        <v>182648.40182648398</v>
      </c>
      <c r="C12" s="175">
        <f t="shared" ref="C12:M12" si="2">SUM(C9:C11)</f>
        <v>182648.40182648398</v>
      </c>
      <c r="D12" s="175">
        <f t="shared" si="2"/>
        <v>182648.40182648398</v>
      </c>
      <c r="E12" s="175">
        <f t="shared" si="2"/>
        <v>228310.50228310502</v>
      </c>
      <c r="F12" s="175">
        <f t="shared" si="2"/>
        <v>228310.50228310502</v>
      </c>
      <c r="G12" s="175">
        <f t="shared" si="2"/>
        <v>228310.50228310502</v>
      </c>
      <c r="H12" s="175">
        <f t="shared" si="2"/>
        <v>273972.60273972602</v>
      </c>
      <c r="I12" s="175">
        <f t="shared" si="2"/>
        <v>273972.60273972602</v>
      </c>
      <c r="J12" s="175">
        <f t="shared" si="2"/>
        <v>273972.60273972602</v>
      </c>
      <c r="K12" s="175">
        <f t="shared" si="2"/>
        <v>315068.49315068481</v>
      </c>
      <c r="L12" s="175">
        <f t="shared" si="2"/>
        <v>315068.49315068481</v>
      </c>
      <c r="M12" s="175">
        <f t="shared" si="2"/>
        <v>315068.49315068481</v>
      </c>
      <c r="N12" s="64">
        <f>SUM(B12:M12)</f>
        <v>2999999.9999999995</v>
      </c>
    </row>
    <row r="13" spans="1:14" s="128" customFormat="1" ht="15" customHeight="1" x14ac:dyDescent="0.25">
      <c r="A13" s="129"/>
      <c r="B13" s="177"/>
      <c r="C13" s="177"/>
      <c r="D13" s="177"/>
      <c r="E13" s="177"/>
      <c r="F13" s="177"/>
      <c r="G13" s="177"/>
      <c r="H13" s="177"/>
      <c r="I13" s="177"/>
      <c r="J13" s="177"/>
      <c r="K13" s="177"/>
      <c r="L13" s="177"/>
      <c r="M13" s="177"/>
      <c r="N13" s="178"/>
    </row>
    <row r="14" spans="1:14" s="132" customFormat="1" ht="15" customHeight="1" x14ac:dyDescent="0.25">
      <c r="A14" s="96" t="s">
        <v>41</v>
      </c>
      <c r="B14" s="179">
        <f t="shared" ref="B14:N14" si="3">B7-B12</f>
        <v>1035007.610350076</v>
      </c>
      <c r="C14" s="179">
        <f t="shared" si="3"/>
        <v>1035007.610350076</v>
      </c>
      <c r="D14" s="179">
        <f t="shared" si="3"/>
        <v>1035007.610350076</v>
      </c>
      <c r="E14" s="179">
        <f t="shared" si="3"/>
        <v>1293759.5129375951</v>
      </c>
      <c r="F14" s="179">
        <f t="shared" si="3"/>
        <v>1293759.5129375951</v>
      </c>
      <c r="G14" s="179">
        <f t="shared" si="3"/>
        <v>1293759.5129375951</v>
      </c>
      <c r="H14" s="179">
        <f t="shared" si="3"/>
        <v>1552511.4155251142</v>
      </c>
      <c r="I14" s="179">
        <f t="shared" si="3"/>
        <v>1552511.4155251142</v>
      </c>
      <c r="J14" s="179">
        <f t="shared" si="3"/>
        <v>1552511.4155251142</v>
      </c>
      <c r="K14" s="179">
        <f t="shared" si="3"/>
        <v>1785388.1278538809</v>
      </c>
      <c r="L14" s="179">
        <f t="shared" si="3"/>
        <v>1785388.1278538809</v>
      </c>
      <c r="M14" s="179">
        <f t="shared" si="3"/>
        <v>1785388.1278538809</v>
      </c>
      <c r="N14" s="179">
        <f t="shared" si="3"/>
        <v>16999999.999999996</v>
      </c>
    </row>
    <row r="15" spans="1:14" s="128" customFormat="1" ht="20.25" customHeight="1" x14ac:dyDescent="0.25">
      <c r="A15" s="129" t="s">
        <v>103</v>
      </c>
      <c r="B15" s="177">
        <f t="shared" ref="B15:N15" si="4">B14/B7</f>
        <v>0.85</v>
      </c>
      <c r="C15" s="177">
        <f t="shared" si="4"/>
        <v>0.85</v>
      </c>
      <c r="D15" s="177">
        <f t="shared" si="4"/>
        <v>0.85</v>
      </c>
      <c r="E15" s="177">
        <f t="shared" si="4"/>
        <v>0.85000000000000009</v>
      </c>
      <c r="F15" s="177">
        <f t="shared" si="4"/>
        <v>0.85000000000000009</v>
      </c>
      <c r="G15" s="177">
        <f t="shared" si="4"/>
        <v>0.85000000000000009</v>
      </c>
      <c r="H15" s="177">
        <f t="shared" si="4"/>
        <v>0.85</v>
      </c>
      <c r="I15" s="177">
        <f t="shared" si="4"/>
        <v>0.85</v>
      </c>
      <c r="J15" s="177">
        <f t="shared" si="4"/>
        <v>0.85</v>
      </c>
      <c r="K15" s="177">
        <f t="shared" si="4"/>
        <v>0.85000000000000009</v>
      </c>
      <c r="L15" s="177">
        <f t="shared" si="4"/>
        <v>0.85000000000000009</v>
      </c>
      <c r="M15" s="177">
        <f t="shared" si="4"/>
        <v>0.85000000000000009</v>
      </c>
      <c r="N15" s="177">
        <f t="shared" si="4"/>
        <v>0.85</v>
      </c>
    </row>
    <row r="16" spans="1:14" ht="15" customHeight="1" x14ac:dyDescent="0.25">
      <c r="A16" s="96" t="s">
        <v>11</v>
      </c>
      <c r="B16" s="60"/>
      <c r="C16" s="60"/>
      <c r="D16" s="60"/>
      <c r="E16" s="60"/>
      <c r="F16" s="60"/>
      <c r="G16" s="60"/>
      <c r="H16" s="60"/>
      <c r="I16" s="60"/>
      <c r="J16" s="60"/>
      <c r="K16" s="60"/>
      <c r="L16" s="60"/>
      <c r="M16" s="60"/>
      <c r="N16" s="70"/>
    </row>
    <row r="17" spans="1:14" s="48" customFormat="1" ht="15.75" customHeight="1" x14ac:dyDescent="0.25">
      <c r="A17" s="122" t="s">
        <v>36</v>
      </c>
      <c r="B17" s="55">
        <v>2916.6666666666665</v>
      </c>
      <c r="C17" s="55">
        <f>B17</f>
        <v>2916.6666666666665</v>
      </c>
      <c r="D17" s="55">
        <f t="shared" ref="D17:M17" si="5">C17</f>
        <v>2916.6666666666665</v>
      </c>
      <c r="E17" s="55">
        <f t="shared" si="5"/>
        <v>2916.6666666666665</v>
      </c>
      <c r="F17" s="55">
        <f t="shared" si="5"/>
        <v>2916.6666666666665</v>
      </c>
      <c r="G17" s="55">
        <f t="shared" si="5"/>
        <v>2916.6666666666665</v>
      </c>
      <c r="H17" s="55">
        <f t="shared" si="5"/>
        <v>2916.6666666666665</v>
      </c>
      <c r="I17" s="55">
        <f t="shared" si="5"/>
        <v>2916.6666666666665</v>
      </c>
      <c r="J17" s="55">
        <f t="shared" si="5"/>
        <v>2916.6666666666665</v>
      </c>
      <c r="K17" s="55">
        <f t="shared" si="5"/>
        <v>2916.6666666666665</v>
      </c>
      <c r="L17" s="55">
        <f t="shared" si="5"/>
        <v>2916.6666666666665</v>
      </c>
      <c r="M17" s="55">
        <f t="shared" si="5"/>
        <v>2916.6666666666665</v>
      </c>
      <c r="N17" s="70">
        <f t="shared" ref="N17:N23" si="6">SUM(B17:M17)</f>
        <v>35000.000000000007</v>
      </c>
    </row>
    <row r="18" spans="1:14" s="48" customFormat="1" ht="15.75" customHeight="1" x14ac:dyDescent="0.25">
      <c r="A18" s="122" t="s">
        <v>12</v>
      </c>
      <c r="B18" s="55">
        <v>3333.3333333333335</v>
      </c>
      <c r="C18" s="55">
        <f>+B18</f>
        <v>3333.3333333333335</v>
      </c>
      <c r="D18" s="55">
        <f t="shared" ref="D18:M20" si="7">+C18</f>
        <v>3333.3333333333335</v>
      </c>
      <c r="E18" s="55">
        <f t="shared" si="7"/>
        <v>3333.3333333333335</v>
      </c>
      <c r="F18" s="55">
        <f t="shared" si="7"/>
        <v>3333.3333333333335</v>
      </c>
      <c r="G18" s="55">
        <f t="shared" si="7"/>
        <v>3333.3333333333335</v>
      </c>
      <c r="H18" s="55">
        <f t="shared" si="7"/>
        <v>3333.3333333333335</v>
      </c>
      <c r="I18" s="55">
        <f t="shared" si="7"/>
        <v>3333.3333333333335</v>
      </c>
      <c r="J18" s="55">
        <f t="shared" si="7"/>
        <v>3333.3333333333335</v>
      </c>
      <c r="K18" s="55">
        <f t="shared" si="7"/>
        <v>3333.3333333333335</v>
      </c>
      <c r="L18" s="55">
        <f t="shared" si="7"/>
        <v>3333.3333333333335</v>
      </c>
      <c r="M18" s="55">
        <f t="shared" si="7"/>
        <v>3333.3333333333335</v>
      </c>
      <c r="N18" s="70">
        <f t="shared" si="6"/>
        <v>40000</v>
      </c>
    </row>
    <row r="19" spans="1:14" s="48" customFormat="1" ht="15.75" customHeight="1" x14ac:dyDescent="0.25">
      <c r="A19" s="122" t="s">
        <v>13</v>
      </c>
      <c r="B19" s="55">
        <v>3333.3333333333335</v>
      </c>
      <c r="C19" s="55">
        <f>+B19</f>
        <v>3333.3333333333335</v>
      </c>
      <c r="D19" s="55">
        <f t="shared" si="7"/>
        <v>3333.3333333333335</v>
      </c>
      <c r="E19" s="55">
        <f t="shared" si="7"/>
        <v>3333.3333333333335</v>
      </c>
      <c r="F19" s="55">
        <f t="shared" si="7"/>
        <v>3333.3333333333335</v>
      </c>
      <c r="G19" s="55">
        <f t="shared" si="7"/>
        <v>3333.3333333333335</v>
      </c>
      <c r="H19" s="55">
        <f t="shared" si="7"/>
        <v>3333.3333333333335</v>
      </c>
      <c r="I19" s="55">
        <f t="shared" si="7"/>
        <v>3333.3333333333335</v>
      </c>
      <c r="J19" s="55">
        <f t="shared" si="7"/>
        <v>3333.3333333333335</v>
      </c>
      <c r="K19" s="55">
        <f t="shared" si="7"/>
        <v>3333.3333333333335</v>
      </c>
      <c r="L19" s="55">
        <f t="shared" si="7"/>
        <v>3333.3333333333335</v>
      </c>
      <c r="M19" s="55">
        <f t="shared" si="7"/>
        <v>3333.3333333333335</v>
      </c>
      <c r="N19" s="70">
        <f t="shared" si="6"/>
        <v>40000</v>
      </c>
    </row>
    <row r="20" spans="1:14" s="48" customFormat="1" ht="15.75" customHeight="1" x14ac:dyDescent="0.25">
      <c r="A20" s="122" t="s">
        <v>1</v>
      </c>
      <c r="B20" s="55">
        <v>3333.3333333333335</v>
      </c>
      <c r="C20" s="55">
        <f>+B20</f>
        <v>3333.3333333333335</v>
      </c>
      <c r="D20" s="55">
        <f>+C20</f>
        <v>3333.3333333333335</v>
      </c>
      <c r="E20" s="55">
        <f>+D20</f>
        <v>3333.3333333333335</v>
      </c>
      <c r="F20" s="55">
        <f t="shared" si="7"/>
        <v>3333.3333333333335</v>
      </c>
      <c r="G20" s="55">
        <f t="shared" si="7"/>
        <v>3333.3333333333335</v>
      </c>
      <c r="H20" s="55">
        <f t="shared" si="7"/>
        <v>3333.3333333333335</v>
      </c>
      <c r="I20" s="55">
        <f t="shared" si="7"/>
        <v>3333.3333333333335</v>
      </c>
      <c r="J20" s="55">
        <f t="shared" si="7"/>
        <v>3333.3333333333335</v>
      </c>
      <c r="K20" s="55">
        <f t="shared" si="7"/>
        <v>3333.3333333333335</v>
      </c>
      <c r="L20" s="55">
        <f t="shared" si="7"/>
        <v>3333.3333333333335</v>
      </c>
      <c r="M20" s="55">
        <f t="shared" si="7"/>
        <v>3333.3333333333335</v>
      </c>
      <c r="N20" s="70">
        <f t="shared" si="6"/>
        <v>40000</v>
      </c>
    </row>
    <row r="21" spans="1:14" s="48" customFormat="1" ht="15.75" customHeight="1" x14ac:dyDescent="0.25">
      <c r="A21" s="122" t="s">
        <v>14</v>
      </c>
      <c r="B21" s="55">
        <v>3333.3333333333335</v>
      </c>
      <c r="C21" s="55">
        <f>B21</f>
        <v>3333.3333333333335</v>
      </c>
      <c r="D21" s="55">
        <f t="shared" ref="D21:M21" si="8">C21</f>
        <v>3333.3333333333335</v>
      </c>
      <c r="E21" s="55">
        <f t="shared" si="8"/>
        <v>3333.3333333333335</v>
      </c>
      <c r="F21" s="55">
        <f t="shared" si="8"/>
        <v>3333.3333333333335</v>
      </c>
      <c r="G21" s="55">
        <f t="shared" si="8"/>
        <v>3333.3333333333335</v>
      </c>
      <c r="H21" s="55">
        <f t="shared" si="8"/>
        <v>3333.3333333333335</v>
      </c>
      <c r="I21" s="55">
        <f t="shared" si="8"/>
        <v>3333.3333333333335</v>
      </c>
      <c r="J21" s="55">
        <f t="shared" si="8"/>
        <v>3333.3333333333335</v>
      </c>
      <c r="K21" s="55">
        <f t="shared" si="8"/>
        <v>3333.3333333333335</v>
      </c>
      <c r="L21" s="55">
        <f t="shared" si="8"/>
        <v>3333.3333333333335</v>
      </c>
      <c r="M21" s="55">
        <f t="shared" si="8"/>
        <v>3333.3333333333335</v>
      </c>
      <c r="N21" s="70">
        <f t="shared" si="6"/>
        <v>40000</v>
      </c>
    </row>
    <row r="22" spans="1:14" s="48" customFormat="1" ht="15.75" customHeight="1" x14ac:dyDescent="0.25">
      <c r="A22" s="122" t="s">
        <v>15</v>
      </c>
      <c r="B22" s="55">
        <v>3333.3333333333335</v>
      </c>
      <c r="C22" s="55">
        <f>+B22</f>
        <v>3333.3333333333335</v>
      </c>
      <c r="D22" s="55">
        <f t="shared" ref="D22:M22" si="9">+C22</f>
        <v>3333.3333333333335</v>
      </c>
      <c r="E22" s="55">
        <f t="shared" si="9"/>
        <v>3333.3333333333335</v>
      </c>
      <c r="F22" s="55">
        <f t="shared" si="9"/>
        <v>3333.3333333333335</v>
      </c>
      <c r="G22" s="55">
        <f t="shared" si="9"/>
        <v>3333.3333333333335</v>
      </c>
      <c r="H22" s="55">
        <f t="shared" si="9"/>
        <v>3333.3333333333335</v>
      </c>
      <c r="I22" s="55">
        <f t="shared" si="9"/>
        <v>3333.3333333333335</v>
      </c>
      <c r="J22" s="55">
        <f t="shared" si="9"/>
        <v>3333.3333333333335</v>
      </c>
      <c r="K22" s="55">
        <f t="shared" si="9"/>
        <v>3333.3333333333335</v>
      </c>
      <c r="L22" s="55">
        <f t="shared" si="9"/>
        <v>3333.3333333333335</v>
      </c>
      <c r="M22" s="55">
        <f t="shared" si="9"/>
        <v>3333.3333333333335</v>
      </c>
      <c r="N22" s="70">
        <f t="shared" si="6"/>
        <v>40000</v>
      </c>
    </row>
    <row r="23" spans="1:14" s="48" customFormat="1" ht="15.75" customHeight="1" x14ac:dyDescent="0.25">
      <c r="A23" s="122" t="s">
        <v>56</v>
      </c>
      <c r="B23" s="55">
        <v>26401.299756295692</v>
      </c>
      <c r="C23" s="55">
        <v>40000</v>
      </c>
      <c r="D23" s="55">
        <v>40000</v>
      </c>
      <c r="E23" s="55">
        <v>40000</v>
      </c>
      <c r="F23" s="55">
        <v>40000</v>
      </c>
      <c r="G23" s="55">
        <v>40000</v>
      </c>
      <c r="H23" s="55">
        <v>40000</v>
      </c>
      <c r="I23" s="55">
        <v>40000</v>
      </c>
      <c r="J23" s="55">
        <v>40000</v>
      </c>
      <c r="K23" s="55">
        <v>40000</v>
      </c>
      <c r="L23" s="55">
        <v>40000</v>
      </c>
      <c r="M23" s="55">
        <v>40000</v>
      </c>
      <c r="N23" s="70">
        <f t="shared" si="6"/>
        <v>466401.29975629569</v>
      </c>
    </row>
    <row r="24" spans="1:14" s="48" customFormat="1" ht="15.75" customHeight="1" x14ac:dyDescent="0.25">
      <c r="A24" s="122" t="s">
        <v>16</v>
      </c>
      <c r="B24" s="55">
        <v>3333.3333333333335</v>
      </c>
      <c r="C24" s="55">
        <f>B24</f>
        <v>3333.3333333333335</v>
      </c>
      <c r="D24" s="55">
        <f t="shared" ref="D24:M24" si="10">C24</f>
        <v>3333.3333333333335</v>
      </c>
      <c r="E24" s="55">
        <f t="shared" si="10"/>
        <v>3333.3333333333335</v>
      </c>
      <c r="F24" s="55">
        <f t="shared" si="10"/>
        <v>3333.3333333333335</v>
      </c>
      <c r="G24" s="55">
        <f t="shared" si="10"/>
        <v>3333.3333333333335</v>
      </c>
      <c r="H24" s="55">
        <f t="shared" si="10"/>
        <v>3333.3333333333335</v>
      </c>
      <c r="I24" s="55">
        <f t="shared" si="10"/>
        <v>3333.3333333333335</v>
      </c>
      <c r="J24" s="55">
        <f t="shared" si="10"/>
        <v>3333.3333333333335</v>
      </c>
      <c r="K24" s="55">
        <f t="shared" si="10"/>
        <v>3333.3333333333335</v>
      </c>
      <c r="L24" s="55">
        <f t="shared" si="10"/>
        <v>3333.3333333333335</v>
      </c>
      <c r="M24" s="55">
        <f t="shared" si="10"/>
        <v>3333.3333333333335</v>
      </c>
      <c r="N24" s="70">
        <f>SUM(B24:M24)</f>
        <v>40000</v>
      </c>
    </row>
    <row r="25" spans="1:14" s="48" customFormat="1" ht="15.75" customHeight="1" x14ac:dyDescent="0.25">
      <c r="A25" s="122" t="s">
        <v>5</v>
      </c>
      <c r="B25" s="55">
        <v>3333.3333333333335</v>
      </c>
      <c r="C25" s="55">
        <f>+B25</f>
        <v>3333.3333333333335</v>
      </c>
      <c r="D25" s="55">
        <f t="shared" ref="D25:M26" si="11">+C25</f>
        <v>3333.3333333333335</v>
      </c>
      <c r="E25" s="55">
        <f t="shared" si="11"/>
        <v>3333.3333333333335</v>
      </c>
      <c r="F25" s="55">
        <f t="shared" si="11"/>
        <v>3333.3333333333335</v>
      </c>
      <c r="G25" s="55">
        <f t="shared" si="11"/>
        <v>3333.3333333333335</v>
      </c>
      <c r="H25" s="55">
        <f t="shared" si="11"/>
        <v>3333.3333333333335</v>
      </c>
      <c r="I25" s="55">
        <f t="shared" si="11"/>
        <v>3333.3333333333335</v>
      </c>
      <c r="J25" s="55">
        <f t="shared" si="11"/>
        <v>3333.3333333333335</v>
      </c>
      <c r="K25" s="55">
        <f t="shared" si="11"/>
        <v>3333.3333333333335</v>
      </c>
      <c r="L25" s="55">
        <f t="shared" si="11"/>
        <v>3333.3333333333335</v>
      </c>
      <c r="M25" s="55">
        <f t="shared" si="11"/>
        <v>3333.3333333333335</v>
      </c>
      <c r="N25" s="70">
        <f t="shared" ref="N25:N43" si="12">SUM(B25:M25)</f>
        <v>40000</v>
      </c>
    </row>
    <row r="26" spans="1:14" s="48" customFormat="1" ht="15.75" customHeight="1" x14ac:dyDescent="0.25">
      <c r="A26" s="122" t="s">
        <v>37</v>
      </c>
      <c r="B26" s="55">
        <v>3333.3333333333335</v>
      </c>
      <c r="C26" s="55">
        <f>+B26</f>
        <v>3333.3333333333335</v>
      </c>
      <c r="D26" s="55">
        <f t="shared" si="11"/>
        <v>3333.3333333333335</v>
      </c>
      <c r="E26" s="55">
        <f t="shared" si="11"/>
        <v>3333.3333333333335</v>
      </c>
      <c r="F26" s="55">
        <f t="shared" si="11"/>
        <v>3333.3333333333335</v>
      </c>
      <c r="G26" s="55">
        <f t="shared" si="11"/>
        <v>3333.3333333333335</v>
      </c>
      <c r="H26" s="55">
        <f t="shared" si="11"/>
        <v>3333.3333333333335</v>
      </c>
      <c r="I26" s="55">
        <f t="shared" si="11"/>
        <v>3333.3333333333335</v>
      </c>
      <c r="J26" s="55">
        <f t="shared" si="11"/>
        <v>3333.3333333333335</v>
      </c>
      <c r="K26" s="55">
        <f>+J26</f>
        <v>3333.3333333333335</v>
      </c>
      <c r="L26" s="55">
        <f>+K26</f>
        <v>3333.3333333333335</v>
      </c>
      <c r="M26" s="55">
        <f>+L26</f>
        <v>3333.3333333333335</v>
      </c>
      <c r="N26" s="70">
        <f t="shared" si="12"/>
        <v>40000</v>
      </c>
    </row>
    <row r="27" spans="1:14" s="48" customFormat="1" ht="15.75" customHeight="1" x14ac:dyDescent="0.25">
      <c r="A27" s="122" t="s">
        <v>18</v>
      </c>
      <c r="B27" s="55">
        <v>3333.3333333333335</v>
      </c>
      <c r="C27" s="55">
        <f>B27</f>
        <v>3333.3333333333335</v>
      </c>
      <c r="D27" s="55">
        <f t="shared" ref="D27:M27" si="13">C27</f>
        <v>3333.3333333333335</v>
      </c>
      <c r="E27" s="55">
        <f t="shared" si="13"/>
        <v>3333.3333333333335</v>
      </c>
      <c r="F27" s="55">
        <f t="shared" si="13"/>
        <v>3333.3333333333335</v>
      </c>
      <c r="G27" s="55">
        <f t="shared" si="13"/>
        <v>3333.3333333333335</v>
      </c>
      <c r="H27" s="55">
        <f t="shared" si="13"/>
        <v>3333.3333333333335</v>
      </c>
      <c r="I27" s="55">
        <f t="shared" si="13"/>
        <v>3333.3333333333335</v>
      </c>
      <c r="J27" s="55">
        <f t="shared" si="13"/>
        <v>3333.3333333333335</v>
      </c>
      <c r="K27" s="55">
        <f t="shared" si="13"/>
        <v>3333.3333333333335</v>
      </c>
      <c r="L27" s="55">
        <f t="shared" si="13"/>
        <v>3333.3333333333335</v>
      </c>
      <c r="M27" s="55">
        <f t="shared" si="13"/>
        <v>3333.3333333333335</v>
      </c>
      <c r="N27" s="70">
        <f t="shared" si="12"/>
        <v>40000</v>
      </c>
    </row>
    <row r="28" spans="1:14" s="48" customFormat="1" ht="15.75" customHeight="1" x14ac:dyDescent="0.25">
      <c r="A28" s="122" t="s">
        <v>19</v>
      </c>
      <c r="B28" s="55">
        <v>3333.3333333333335</v>
      </c>
      <c r="C28" s="55">
        <f t="shared" ref="C28:C35" si="14">+B28</f>
        <v>3333.3333333333335</v>
      </c>
      <c r="D28" s="55">
        <f t="shared" ref="D28:M43" si="15">+C28</f>
        <v>3333.3333333333335</v>
      </c>
      <c r="E28" s="55">
        <f t="shared" si="15"/>
        <v>3333.3333333333335</v>
      </c>
      <c r="F28" s="55">
        <f t="shared" si="15"/>
        <v>3333.3333333333335</v>
      </c>
      <c r="G28" s="55">
        <f t="shared" si="15"/>
        <v>3333.3333333333335</v>
      </c>
      <c r="H28" s="55">
        <f t="shared" si="15"/>
        <v>3333.3333333333335</v>
      </c>
      <c r="I28" s="55">
        <f t="shared" si="15"/>
        <v>3333.3333333333335</v>
      </c>
      <c r="J28" s="55">
        <f t="shared" si="15"/>
        <v>3333.3333333333335</v>
      </c>
      <c r="K28" s="55">
        <f t="shared" si="15"/>
        <v>3333.3333333333335</v>
      </c>
      <c r="L28" s="55">
        <f t="shared" si="15"/>
        <v>3333.3333333333335</v>
      </c>
      <c r="M28" s="55">
        <f t="shared" si="15"/>
        <v>3333.3333333333335</v>
      </c>
      <c r="N28" s="70">
        <f t="shared" si="12"/>
        <v>40000</v>
      </c>
    </row>
    <row r="29" spans="1:14" s="48" customFormat="1" ht="15.75" customHeight="1" x14ac:dyDescent="0.25">
      <c r="A29" s="122" t="s">
        <v>20</v>
      </c>
      <c r="B29" s="55">
        <v>9350.4603303547246</v>
      </c>
      <c r="C29" s="55">
        <f t="shared" si="14"/>
        <v>9350.4603303547246</v>
      </c>
      <c r="D29" s="55">
        <f t="shared" si="15"/>
        <v>9350.4603303547246</v>
      </c>
      <c r="E29" s="55">
        <f t="shared" si="15"/>
        <v>9350.4603303547246</v>
      </c>
      <c r="F29" s="55">
        <f t="shared" si="15"/>
        <v>9350.4603303547246</v>
      </c>
      <c r="G29" s="55">
        <f t="shared" si="15"/>
        <v>9350.4603303547246</v>
      </c>
      <c r="H29" s="55">
        <f t="shared" si="15"/>
        <v>9350.4603303547246</v>
      </c>
      <c r="I29" s="55">
        <f t="shared" si="15"/>
        <v>9350.4603303547246</v>
      </c>
      <c r="J29" s="55">
        <f t="shared" si="15"/>
        <v>9350.4603303547246</v>
      </c>
      <c r="K29" s="55">
        <f t="shared" si="15"/>
        <v>9350.4603303547246</v>
      </c>
      <c r="L29" s="55">
        <f t="shared" si="15"/>
        <v>9350.4603303547246</v>
      </c>
      <c r="M29" s="55">
        <f t="shared" si="15"/>
        <v>9350.4603303547246</v>
      </c>
      <c r="N29" s="70">
        <f t="shared" si="12"/>
        <v>112205.52396425667</v>
      </c>
    </row>
    <row r="30" spans="1:14" s="48" customFormat="1" ht="15.75" customHeight="1" x14ac:dyDescent="0.25">
      <c r="A30" s="122" t="s">
        <v>38</v>
      </c>
      <c r="B30" s="55">
        <v>244212.02274573516</v>
      </c>
      <c r="C30" s="55">
        <f t="shared" si="14"/>
        <v>244212.02274573516</v>
      </c>
      <c r="D30" s="55">
        <f t="shared" si="15"/>
        <v>244212.02274573516</v>
      </c>
      <c r="E30" s="55">
        <f t="shared" si="15"/>
        <v>244212.02274573516</v>
      </c>
      <c r="F30" s="55">
        <f t="shared" si="15"/>
        <v>244212.02274573516</v>
      </c>
      <c r="G30" s="55">
        <f t="shared" si="15"/>
        <v>244212.02274573516</v>
      </c>
      <c r="H30" s="55">
        <f t="shared" si="15"/>
        <v>244212.02274573516</v>
      </c>
      <c r="I30" s="55">
        <f t="shared" si="15"/>
        <v>244212.02274573516</v>
      </c>
      <c r="J30" s="55">
        <f t="shared" si="15"/>
        <v>244212.02274573516</v>
      </c>
      <c r="K30" s="55">
        <f t="shared" si="15"/>
        <v>244212.02274573516</v>
      </c>
      <c r="L30" s="55">
        <f t="shared" si="15"/>
        <v>244212.02274573516</v>
      </c>
      <c r="M30" s="55">
        <f t="shared" si="15"/>
        <v>244212.02274573516</v>
      </c>
      <c r="N30" s="70">
        <f t="shared" si="12"/>
        <v>2930544.2729488215</v>
      </c>
    </row>
    <row r="31" spans="1:14" s="48" customFormat="1" ht="15.75" customHeight="1" x14ac:dyDescent="0.25">
      <c r="A31" s="122" t="s">
        <v>21</v>
      </c>
      <c r="B31" s="55">
        <v>56102.761982128352</v>
      </c>
      <c r="C31" s="55">
        <f t="shared" si="14"/>
        <v>56102.761982128352</v>
      </c>
      <c r="D31" s="55">
        <f t="shared" si="15"/>
        <v>56102.761982128352</v>
      </c>
      <c r="E31" s="55">
        <f t="shared" si="15"/>
        <v>56102.761982128352</v>
      </c>
      <c r="F31" s="55">
        <f t="shared" si="15"/>
        <v>56102.761982128352</v>
      </c>
      <c r="G31" s="55">
        <f t="shared" si="15"/>
        <v>56102.761982128352</v>
      </c>
      <c r="H31" s="55">
        <f t="shared" si="15"/>
        <v>56102.761982128352</v>
      </c>
      <c r="I31" s="55">
        <f t="shared" si="15"/>
        <v>56102.761982128352</v>
      </c>
      <c r="J31" s="55">
        <f t="shared" si="15"/>
        <v>56102.761982128352</v>
      </c>
      <c r="K31" s="55">
        <f t="shared" si="15"/>
        <v>56102.761982128352</v>
      </c>
      <c r="L31" s="55">
        <f t="shared" si="15"/>
        <v>56102.761982128352</v>
      </c>
      <c r="M31" s="55">
        <f t="shared" si="15"/>
        <v>56102.761982128352</v>
      </c>
      <c r="N31" s="70">
        <f t="shared" si="12"/>
        <v>673233.14378554036</v>
      </c>
    </row>
    <row r="32" spans="1:14" s="48" customFormat="1" ht="15.75" customHeight="1" x14ac:dyDescent="0.25">
      <c r="A32" s="122" t="s">
        <v>22</v>
      </c>
      <c r="B32" s="55">
        <v>3333.3333333333335</v>
      </c>
      <c r="C32" s="55">
        <f t="shared" si="14"/>
        <v>3333.3333333333335</v>
      </c>
      <c r="D32" s="55">
        <f t="shared" si="15"/>
        <v>3333.3333333333335</v>
      </c>
      <c r="E32" s="55">
        <f t="shared" si="15"/>
        <v>3333.3333333333335</v>
      </c>
      <c r="F32" s="55">
        <f t="shared" si="15"/>
        <v>3333.3333333333335</v>
      </c>
      <c r="G32" s="55">
        <f t="shared" si="15"/>
        <v>3333.3333333333335</v>
      </c>
      <c r="H32" s="55">
        <f t="shared" si="15"/>
        <v>3333.3333333333335</v>
      </c>
      <c r="I32" s="55">
        <f t="shared" si="15"/>
        <v>3333.3333333333335</v>
      </c>
      <c r="J32" s="55">
        <f t="shared" si="15"/>
        <v>3333.3333333333335</v>
      </c>
      <c r="K32" s="55">
        <f t="shared" si="15"/>
        <v>3333.3333333333335</v>
      </c>
      <c r="L32" s="55">
        <f t="shared" si="15"/>
        <v>3333.3333333333335</v>
      </c>
      <c r="M32" s="55">
        <f t="shared" si="15"/>
        <v>3333.3333333333335</v>
      </c>
      <c r="N32" s="70">
        <f t="shared" si="12"/>
        <v>40000</v>
      </c>
    </row>
    <row r="33" spans="1:14" s="48" customFormat="1" ht="15.75" customHeight="1" x14ac:dyDescent="0.25">
      <c r="A33" s="122" t="s">
        <v>23</v>
      </c>
      <c r="B33" s="55">
        <v>166666.66666666666</v>
      </c>
      <c r="C33" s="55">
        <f t="shared" si="14"/>
        <v>166666.66666666666</v>
      </c>
      <c r="D33" s="55">
        <f t="shared" si="15"/>
        <v>166666.66666666666</v>
      </c>
      <c r="E33" s="55">
        <f t="shared" si="15"/>
        <v>166666.66666666666</v>
      </c>
      <c r="F33" s="55">
        <f t="shared" si="15"/>
        <v>166666.66666666666</v>
      </c>
      <c r="G33" s="55">
        <f t="shared" si="15"/>
        <v>166666.66666666666</v>
      </c>
      <c r="H33" s="55">
        <f t="shared" si="15"/>
        <v>166666.66666666666</v>
      </c>
      <c r="I33" s="55">
        <f t="shared" si="15"/>
        <v>166666.66666666666</v>
      </c>
      <c r="J33" s="55">
        <f t="shared" si="15"/>
        <v>166666.66666666666</v>
      </c>
      <c r="K33" s="55">
        <f t="shared" si="15"/>
        <v>166666.66666666666</v>
      </c>
      <c r="L33" s="55">
        <f t="shared" si="15"/>
        <v>166666.66666666666</v>
      </c>
      <c r="M33" s="55">
        <f t="shared" si="15"/>
        <v>166666.66666666666</v>
      </c>
      <c r="N33" s="70">
        <f t="shared" si="12"/>
        <v>2000000.0000000002</v>
      </c>
    </row>
    <row r="34" spans="1:14" s="48" customFormat="1" ht="15.75" customHeight="1" x14ac:dyDescent="0.25">
      <c r="A34" s="134" t="s">
        <v>95</v>
      </c>
      <c r="B34" s="55">
        <v>49502.43704305443</v>
      </c>
      <c r="C34" s="55">
        <f t="shared" si="14"/>
        <v>49502.43704305443</v>
      </c>
      <c r="D34" s="55">
        <f t="shared" si="15"/>
        <v>49502.43704305443</v>
      </c>
      <c r="E34" s="55">
        <f t="shared" si="15"/>
        <v>49502.43704305443</v>
      </c>
      <c r="F34" s="55">
        <f t="shared" si="15"/>
        <v>49502.43704305443</v>
      </c>
      <c r="G34" s="55">
        <f t="shared" si="15"/>
        <v>49502.43704305443</v>
      </c>
      <c r="H34" s="55">
        <f t="shared" si="15"/>
        <v>49502.43704305443</v>
      </c>
      <c r="I34" s="55">
        <f t="shared" si="15"/>
        <v>49502.43704305443</v>
      </c>
      <c r="J34" s="55">
        <f t="shared" si="15"/>
        <v>49502.43704305443</v>
      </c>
      <c r="K34" s="55">
        <f t="shared" si="15"/>
        <v>49502.43704305443</v>
      </c>
      <c r="L34" s="55">
        <f t="shared" si="15"/>
        <v>49502.43704305443</v>
      </c>
      <c r="M34" s="55">
        <f t="shared" si="15"/>
        <v>49502.43704305443</v>
      </c>
      <c r="N34" s="70">
        <f t="shared" si="12"/>
        <v>594029.24451665313</v>
      </c>
    </row>
    <row r="35" spans="1:14" s="48" customFormat="1" ht="15.75" customHeight="1" x14ac:dyDescent="0.25">
      <c r="A35" s="122" t="s">
        <v>39</v>
      </c>
      <c r="B35" s="55">
        <v>375000</v>
      </c>
      <c r="C35" s="55">
        <f t="shared" si="14"/>
        <v>375000</v>
      </c>
      <c r="D35" s="55">
        <f t="shared" si="15"/>
        <v>375000</v>
      </c>
      <c r="E35" s="55">
        <f t="shared" si="15"/>
        <v>375000</v>
      </c>
      <c r="F35" s="55">
        <f t="shared" si="15"/>
        <v>375000</v>
      </c>
      <c r="G35" s="55">
        <f t="shared" si="15"/>
        <v>375000</v>
      </c>
      <c r="H35" s="55">
        <f t="shared" si="15"/>
        <v>375000</v>
      </c>
      <c r="I35" s="55">
        <f t="shared" si="15"/>
        <v>375000</v>
      </c>
      <c r="J35" s="55">
        <f t="shared" si="15"/>
        <v>375000</v>
      </c>
      <c r="K35" s="55">
        <f t="shared" si="15"/>
        <v>375000</v>
      </c>
      <c r="L35" s="55">
        <f t="shared" si="15"/>
        <v>375000</v>
      </c>
      <c r="M35" s="55">
        <f t="shared" si="15"/>
        <v>375000</v>
      </c>
      <c r="N35" s="70">
        <f>SUM(B35:M35)</f>
        <v>4500000</v>
      </c>
    </row>
    <row r="36" spans="1:14" s="78" customFormat="1" ht="15.75" hidden="1" customHeight="1" x14ac:dyDescent="0.25">
      <c r="A36" s="135"/>
      <c r="B36" s="180"/>
      <c r="C36" s="180"/>
      <c r="D36" s="180"/>
      <c r="E36" s="180"/>
      <c r="F36" s="180"/>
      <c r="G36" s="180"/>
      <c r="H36" s="180"/>
      <c r="I36" s="180"/>
      <c r="J36" s="180"/>
      <c r="K36" s="180"/>
      <c r="L36" s="180"/>
      <c r="M36" s="180"/>
      <c r="N36" s="181"/>
    </row>
    <row r="37" spans="1:14" s="48" customFormat="1" ht="15.75" customHeight="1" x14ac:dyDescent="0.25">
      <c r="A37" s="138" t="s">
        <v>24</v>
      </c>
      <c r="B37" s="55">
        <v>8580.4224207960997</v>
      </c>
      <c r="C37" s="55">
        <f t="shared" ref="C37:C44" si="16">+B37</f>
        <v>8580.4224207960997</v>
      </c>
      <c r="D37" s="55">
        <f t="shared" si="15"/>
        <v>8580.4224207960997</v>
      </c>
      <c r="E37" s="55">
        <f t="shared" si="15"/>
        <v>8580.4224207960997</v>
      </c>
      <c r="F37" s="55">
        <f t="shared" si="15"/>
        <v>8580.4224207960997</v>
      </c>
      <c r="G37" s="55">
        <f t="shared" si="15"/>
        <v>8580.4224207960997</v>
      </c>
      <c r="H37" s="55">
        <f t="shared" si="15"/>
        <v>8580.4224207960997</v>
      </c>
      <c r="I37" s="55">
        <f t="shared" si="15"/>
        <v>8580.4224207960997</v>
      </c>
      <c r="J37" s="55">
        <f t="shared" si="15"/>
        <v>8580.4224207960997</v>
      </c>
      <c r="K37" s="55">
        <f t="shared" si="15"/>
        <v>8580.4224207960997</v>
      </c>
      <c r="L37" s="55">
        <f t="shared" si="15"/>
        <v>8580.4224207960997</v>
      </c>
      <c r="M37" s="55">
        <f t="shared" si="15"/>
        <v>8580.4224207960997</v>
      </c>
      <c r="N37" s="70">
        <f t="shared" si="12"/>
        <v>102965.06904955317</v>
      </c>
    </row>
    <row r="38" spans="1:14" s="48" customFormat="1" ht="15.75" customHeight="1" x14ac:dyDescent="0.25">
      <c r="A38" s="138" t="s">
        <v>25</v>
      </c>
      <c r="B38" s="55">
        <v>16666.666666666668</v>
      </c>
      <c r="C38" s="55">
        <f t="shared" si="16"/>
        <v>16666.666666666668</v>
      </c>
      <c r="D38" s="55">
        <f t="shared" si="15"/>
        <v>16666.666666666668</v>
      </c>
      <c r="E38" s="55">
        <f t="shared" si="15"/>
        <v>16666.666666666668</v>
      </c>
      <c r="F38" s="55">
        <f t="shared" si="15"/>
        <v>16666.666666666668</v>
      </c>
      <c r="G38" s="55">
        <f t="shared" si="15"/>
        <v>16666.666666666668</v>
      </c>
      <c r="H38" s="55">
        <f t="shared" si="15"/>
        <v>16666.666666666668</v>
      </c>
      <c r="I38" s="55">
        <f t="shared" si="15"/>
        <v>16666.666666666668</v>
      </c>
      <c r="J38" s="55">
        <f t="shared" si="15"/>
        <v>16666.666666666668</v>
      </c>
      <c r="K38" s="55">
        <f t="shared" si="15"/>
        <v>16666.666666666668</v>
      </c>
      <c r="L38" s="55">
        <f t="shared" si="15"/>
        <v>16666.666666666668</v>
      </c>
      <c r="M38" s="55">
        <f t="shared" si="15"/>
        <v>16666.666666666668</v>
      </c>
      <c r="N38" s="70">
        <f t="shared" si="12"/>
        <v>199999.99999999997</v>
      </c>
    </row>
    <row r="39" spans="1:14" s="48" customFormat="1" ht="15.75" customHeight="1" x14ac:dyDescent="0.25">
      <c r="A39" s="122" t="s">
        <v>26</v>
      </c>
      <c r="B39" s="55">
        <v>5000</v>
      </c>
      <c r="C39" s="55">
        <f t="shared" si="16"/>
        <v>5000</v>
      </c>
      <c r="D39" s="55">
        <f t="shared" si="15"/>
        <v>5000</v>
      </c>
      <c r="E39" s="55">
        <f t="shared" si="15"/>
        <v>5000</v>
      </c>
      <c r="F39" s="55">
        <f t="shared" si="15"/>
        <v>5000</v>
      </c>
      <c r="G39" s="55">
        <f t="shared" si="15"/>
        <v>5000</v>
      </c>
      <c r="H39" s="55">
        <f t="shared" si="15"/>
        <v>5000</v>
      </c>
      <c r="I39" s="55">
        <f t="shared" si="15"/>
        <v>5000</v>
      </c>
      <c r="J39" s="55">
        <f t="shared" si="15"/>
        <v>5000</v>
      </c>
      <c r="K39" s="55">
        <f t="shared" si="15"/>
        <v>5000</v>
      </c>
      <c r="L39" s="55">
        <f t="shared" si="15"/>
        <v>5000</v>
      </c>
      <c r="M39" s="55">
        <f t="shared" si="15"/>
        <v>5000</v>
      </c>
      <c r="N39" s="70">
        <f t="shared" si="12"/>
        <v>60000</v>
      </c>
    </row>
    <row r="40" spans="1:14" s="48" customFormat="1" ht="15.75" customHeight="1" x14ac:dyDescent="0.25">
      <c r="A40" s="122" t="s">
        <v>27</v>
      </c>
      <c r="B40" s="55">
        <v>3333.3333333333335</v>
      </c>
      <c r="C40" s="55">
        <f t="shared" si="16"/>
        <v>3333.3333333333335</v>
      </c>
      <c r="D40" s="55">
        <f t="shared" si="15"/>
        <v>3333.3333333333335</v>
      </c>
      <c r="E40" s="55">
        <f t="shared" si="15"/>
        <v>3333.3333333333335</v>
      </c>
      <c r="F40" s="55">
        <f t="shared" si="15"/>
        <v>3333.3333333333335</v>
      </c>
      <c r="G40" s="55">
        <f t="shared" si="15"/>
        <v>3333.3333333333335</v>
      </c>
      <c r="H40" s="55">
        <f t="shared" si="15"/>
        <v>3333.3333333333335</v>
      </c>
      <c r="I40" s="55">
        <f t="shared" si="15"/>
        <v>3333.3333333333335</v>
      </c>
      <c r="J40" s="55">
        <f t="shared" si="15"/>
        <v>3333.3333333333335</v>
      </c>
      <c r="K40" s="55">
        <f t="shared" si="15"/>
        <v>3333.3333333333335</v>
      </c>
      <c r="L40" s="55">
        <f t="shared" si="15"/>
        <v>3333.3333333333335</v>
      </c>
      <c r="M40" s="55">
        <f t="shared" si="15"/>
        <v>3333.3333333333335</v>
      </c>
      <c r="N40" s="70">
        <f t="shared" si="12"/>
        <v>40000</v>
      </c>
    </row>
    <row r="41" spans="1:14" s="48" customFormat="1" ht="15.75" customHeight="1" x14ac:dyDescent="0.25">
      <c r="A41" s="122" t="s">
        <v>28</v>
      </c>
      <c r="B41" s="55">
        <v>10000</v>
      </c>
      <c r="C41" s="55">
        <f t="shared" si="16"/>
        <v>10000</v>
      </c>
      <c r="D41" s="55">
        <f t="shared" si="15"/>
        <v>10000</v>
      </c>
      <c r="E41" s="55">
        <f t="shared" si="15"/>
        <v>10000</v>
      </c>
      <c r="F41" s="55">
        <f t="shared" si="15"/>
        <v>10000</v>
      </c>
      <c r="G41" s="55">
        <f t="shared" si="15"/>
        <v>10000</v>
      </c>
      <c r="H41" s="55">
        <f t="shared" si="15"/>
        <v>10000</v>
      </c>
      <c r="I41" s="55">
        <f t="shared" si="15"/>
        <v>10000</v>
      </c>
      <c r="J41" s="55">
        <f t="shared" si="15"/>
        <v>10000</v>
      </c>
      <c r="K41" s="55">
        <f t="shared" si="15"/>
        <v>10000</v>
      </c>
      <c r="L41" s="55">
        <f t="shared" si="15"/>
        <v>10000</v>
      </c>
      <c r="M41" s="55">
        <f t="shared" si="15"/>
        <v>10000</v>
      </c>
      <c r="N41" s="70">
        <f t="shared" si="12"/>
        <v>120000</v>
      </c>
    </row>
    <row r="42" spans="1:14" s="48" customFormat="1" ht="15.75" customHeight="1" x14ac:dyDescent="0.25">
      <c r="A42" s="122" t="s">
        <v>29</v>
      </c>
      <c r="B42" s="55">
        <v>10000</v>
      </c>
      <c r="C42" s="55">
        <f t="shared" si="16"/>
        <v>10000</v>
      </c>
      <c r="D42" s="55">
        <f t="shared" si="15"/>
        <v>10000</v>
      </c>
      <c r="E42" s="55">
        <f t="shared" si="15"/>
        <v>10000</v>
      </c>
      <c r="F42" s="55">
        <f t="shared" si="15"/>
        <v>10000</v>
      </c>
      <c r="G42" s="55">
        <f t="shared" si="15"/>
        <v>10000</v>
      </c>
      <c r="H42" s="55">
        <f t="shared" si="15"/>
        <v>10000</v>
      </c>
      <c r="I42" s="55">
        <f t="shared" si="15"/>
        <v>10000</v>
      </c>
      <c r="J42" s="55">
        <f t="shared" si="15"/>
        <v>10000</v>
      </c>
      <c r="K42" s="55">
        <f t="shared" si="15"/>
        <v>10000</v>
      </c>
      <c r="L42" s="55">
        <f t="shared" si="15"/>
        <v>10000</v>
      </c>
      <c r="M42" s="55">
        <f t="shared" si="15"/>
        <v>10000</v>
      </c>
      <c r="N42" s="70">
        <f t="shared" si="12"/>
        <v>120000</v>
      </c>
    </row>
    <row r="43" spans="1:14" s="48" customFormat="1" ht="15.75" customHeight="1" x14ac:dyDescent="0.25">
      <c r="A43" s="122" t="s">
        <v>30</v>
      </c>
      <c r="B43" s="55">
        <v>1666.6666666666667</v>
      </c>
      <c r="C43" s="55">
        <f t="shared" si="16"/>
        <v>1666.6666666666667</v>
      </c>
      <c r="D43" s="55">
        <f t="shared" si="15"/>
        <v>1666.6666666666667</v>
      </c>
      <c r="E43" s="55">
        <f t="shared" si="15"/>
        <v>1666.6666666666667</v>
      </c>
      <c r="F43" s="55">
        <f t="shared" si="15"/>
        <v>1666.6666666666667</v>
      </c>
      <c r="G43" s="55">
        <f t="shared" si="15"/>
        <v>1666.6666666666667</v>
      </c>
      <c r="H43" s="55">
        <f t="shared" si="15"/>
        <v>1666.6666666666667</v>
      </c>
      <c r="I43" s="55">
        <f t="shared" si="15"/>
        <v>1666.6666666666667</v>
      </c>
      <c r="J43" s="55">
        <f t="shared" si="15"/>
        <v>1666.6666666666667</v>
      </c>
      <c r="K43" s="55">
        <f t="shared" si="15"/>
        <v>1666.6666666666667</v>
      </c>
      <c r="L43" s="55">
        <f t="shared" si="15"/>
        <v>1666.6666666666667</v>
      </c>
      <c r="M43" s="55">
        <f t="shared" si="15"/>
        <v>1666.6666666666667</v>
      </c>
      <c r="N43" s="70">
        <f t="shared" si="12"/>
        <v>20000</v>
      </c>
    </row>
    <row r="44" spans="1:14" s="48" customFormat="1" ht="15.75" customHeight="1" x14ac:dyDescent="0.25">
      <c r="A44" s="122" t="s">
        <v>115</v>
      </c>
      <c r="B44" s="55">
        <v>1666.6666666666667</v>
      </c>
      <c r="C44" s="55">
        <f t="shared" si="16"/>
        <v>1666.6666666666667</v>
      </c>
      <c r="D44" s="55">
        <f t="shared" ref="D44:M44" si="17">+C44</f>
        <v>1666.6666666666667</v>
      </c>
      <c r="E44" s="55">
        <f t="shared" si="17"/>
        <v>1666.6666666666667</v>
      </c>
      <c r="F44" s="55">
        <f t="shared" si="17"/>
        <v>1666.6666666666667</v>
      </c>
      <c r="G44" s="55">
        <f t="shared" si="17"/>
        <v>1666.6666666666667</v>
      </c>
      <c r="H44" s="55">
        <f t="shared" si="17"/>
        <v>1666.6666666666667</v>
      </c>
      <c r="I44" s="55">
        <f t="shared" si="17"/>
        <v>1666.6666666666667</v>
      </c>
      <c r="J44" s="55">
        <f t="shared" si="17"/>
        <v>1666.6666666666667</v>
      </c>
      <c r="K44" s="55">
        <f t="shared" si="17"/>
        <v>1666.6666666666667</v>
      </c>
      <c r="L44" s="55">
        <f t="shared" si="17"/>
        <v>1666.6666666666667</v>
      </c>
      <c r="M44" s="55">
        <f t="shared" si="17"/>
        <v>1666.6666666666667</v>
      </c>
      <c r="N44" s="70">
        <f>SUM(B44:M44)</f>
        <v>20000</v>
      </c>
    </row>
    <row r="45" spans="1:14" ht="15" customHeight="1" x14ac:dyDescent="0.25">
      <c r="A45" s="139" t="s">
        <v>31</v>
      </c>
      <c r="B45" s="64">
        <f t="shared" ref="B45:M45" si="18">SUM(B17:B44)</f>
        <v>1023732.7376116978</v>
      </c>
      <c r="C45" s="64">
        <f t="shared" si="18"/>
        <v>1037331.437855402</v>
      </c>
      <c r="D45" s="64">
        <f t="shared" si="18"/>
        <v>1037331.437855402</v>
      </c>
      <c r="E45" s="64">
        <f t="shared" si="18"/>
        <v>1037331.437855402</v>
      </c>
      <c r="F45" s="64">
        <f t="shared" si="18"/>
        <v>1037331.437855402</v>
      </c>
      <c r="G45" s="64">
        <f t="shared" si="18"/>
        <v>1037331.437855402</v>
      </c>
      <c r="H45" s="64">
        <f t="shared" si="18"/>
        <v>1037331.437855402</v>
      </c>
      <c r="I45" s="64">
        <f t="shared" si="18"/>
        <v>1037331.437855402</v>
      </c>
      <c r="J45" s="64">
        <f t="shared" si="18"/>
        <v>1037331.437855402</v>
      </c>
      <c r="K45" s="64">
        <f t="shared" si="18"/>
        <v>1037331.437855402</v>
      </c>
      <c r="L45" s="64">
        <f t="shared" si="18"/>
        <v>1037331.437855402</v>
      </c>
      <c r="M45" s="64">
        <f t="shared" si="18"/>
        <v>1037331.437855402</v>
      </c>
      <c r="N45" s="64">
        <f>SUM(N17:N44)</f>
        <v>12434378.554021122</v>
      </c>
    </row>
    <row r="46" spans="1:14" s="91" customFormat="1" ht="18.75" customHeight="1" x14ac:dyDescent="0.35">
      <c r="A46" s="89" t="s">
        <v>110</v>
      </c>
      <c r="B46" s="166">
        <f t="shared" ref="B46:M46" si="19">B45/B14</f>
        <v>0.98910648325130224</v>
      </c>
      <c r="C46" s="166">
        <f t="shared" si="19"/>
        <v>1.0022452274573517</v>
      </c>
      <c r="D46" s="166">
        <f t="shared" si="19"/>
        <v>1.0022452274573517</v>
      </c>
      <c r="E46" s="166">
        <f t="shared" si="19"/>
        <v>0.80179618196588132</v>
      </c>
      <c r="F46" s="166">
        <f t="shared" si="19"/>
        <v>0.80179618196588132</v>
      </c>
      <c r="G46" s="166">
        <f t="shared" si="19"/>
        <v>0.80179618196588132</v>
      </c>
      <c r="H46" s="166">
        <f t="shared" si="19"/>
        <v>0.66816348497156774</v>
      </c>
      <c r="I46" s="166">
        <f t="shared" si="19"/>
        <v>0.66816348497156774</v>
      </c>
      <c r="J46" s="166">
        <f t="shared" si="19"/>
        <v>0.66816348497156774</v>
      </c>
      <c r="K46" s="166">
        <f t="shared" si="19"/>
        <v>0.58101172606223295</v>
      </c>
      <c r="L46" s="166">
        <f t="shared" si="19"/>
        <v>0.58101172606223295</v>
      </c>
      <c r="M46" s="166">
        <f t="shared" si="19"/>
        <v>0.58101172606223295</v>
      </c>
      <c r="N46" s="166">
        <f>N45/N14</f>
        <v>0.73143403258947792</v>
      </c>
    </row>
    <row r="47" spans="1:14" ht="15" customHeight="1" x14ac:dyDescent="0.25">
      <c r="A47" s="120" t="s">
        <v>45</v>
      </c>
      <c r="B47" s="85">
        <f t="shared" ref="B47:N47" si="20">B14-B45</f>
        <v>11274.872738378239</v>
      </c>
      <c r="C47" s="85">
        <f t="shared" si="20"/>
        <v>-2323.8275053260149</v>
      </c>
      <c r="D47" s="85">
        <f t="shared" si="20"/>
        <v>-2323.8275053260149</v>
      </c>
      <c r="E47" s="85">
        <f t="shared" si="20"/>
        <v>256428.07508219313</v>
      </c>
      <c r="F47" s="85">
        <f t="shared" si="20"/>
        <v>256428.07508219313</v>
      </c>
      <c r="G47" s="85">
        <f t="shared" si="20"/>
        <v>256428.07508219313</v>
      </c>
      <c r="H47" s="85">
        <f t="shared" si="20"/>
        <v>515179.97766971216</v>
      </c>
      <c r="I47" s="85">
        <f t="shared" si="20"/>
        <v>515179.97766971216</v>
      </c>
      <c r="J47" s="85">
        <f t="shared" si="20"/>
        <v>515179.97766971216</v>
      </c>
      <c r="K47" s="85">
        <f t="shared" si="20"/>
        <v>748056.68999847886</v>
      </c>
      <c r="L47" s="85">
        <f t="shared" si="20"/>
        <v>748056.68999847886</v>
      </c>
      <c r="M47" s="85">
        <f t="shared" si="20"/>
        <v>748056.68999847886</v>
      </c>
      <c r="N47" s="85">
        <f t="shared" si="20"/>
        <v>4565621.4459788743</v>
      </c>
    </row>
    <row r="48" spans="1:14" ht="15" customHeight="1" x14ac:dyDescent="0.25">
      <c r="A48" s="140" t="s">
        <v>46</v>
      </c>
      <c r="B48" s="60">
        <f>0.3*B47</f>
        <v>3382.4618215134715</v>
      </c>
      <c r="C48" s="60">
        <f t="shared" ref="C48:M48" si="21">0.3*C47</f>
        <v>-697.14825159780446</v>
      </c>
      <c r="D48" s="60">
        <f t="shared" si="21"/>
        <v>-697.14825159780446</v>
      </c>
      <c r="E48" s="60">
        <f t="shared" si="21"/>
        <v>76928.42252465793</v>
      </c>
      <c r="F48" s="60">
        <f t="shared" si="21"/>
        <v>76928.42252465793</v>
      </c>
      <c r="G48" s="60">
        <f t="shared" si="21"/>
        <v>76928.42252465793</v>
      </c>
      <c r="H48" s="60">
        <f t="shared" si="21"/>
        <v>154553.99330091363</v>
      </c>
      <c r="I48" s="60">
        <f t="shared" si="21"/>
        <v>154553.99330091363</v>
      </c>
      <c r="J48" s="60">
        <f t="shared" si="21"/>
        <v>154553.99330091363</v>
      </c>
      <c r="K48" s="60">
        <f t="shared" si="21"/>
        <v>224417.00699954366</v>
      </c>
      <c r="L48" s="60">
        <f t="shared" si="21"/>
        <v>224417.00699954366</v>
      </c>
      <c r="M48" s="60">
        <f t="shared" si="21"/>
        <v>224417.00699954366</v>
      </c>
      <c r="N48" s="70">
        <f>SUM(B48:M48)</f>
        <v>1369686.4337936635</v>
      </c>
    </row>
    <row r="49" spans="1:14" ht="15" customHeight="1" x14ac:dyDescent="0.25">
      <c r="B49" s="152"/>
      <c r="C49" s="152"/>
      <c r="D49" s="152"/>
      <c r="E49" s="152"/>
      <c r="F49" s="152"/>
      <c r="G49" s="152"/>
      <c r="H49" s="152"/>
      <c r="I49" s="152"/>
      <c r="J49" s="152"/>
      <c r="K49" s="152"/>
      <c r="L49" s="155"/>
      <c r="M49" s="155"/>
      <c r="N49" s="155"/>
    </row>
    <row r="50" spans="1:14" ht="15" customHeight="1" x14ac:dyDescent="0.25">
      <c r="A50" s="120" t="s">
        <v>47</v>
      </c>
      <c r="B50" s="85">
        <f>B47-B48</f>
        <v>7892.4109168647674</v>
      </c>
      <c r="C50" s="85">
        <f t="shared" ref="C50:N50" si="22">C47-C48</f>
        <v>-1626.6792537282104</v>
      </c>
      <c r="D50" s="85">
        <f t="shared" si="22"/>
        <v>-1626.6792537282104</v>
      </c>
      <c r="E50" s="85">
        <f t="shared" si="22"/>
        <v>179499.65255753521</v>
      </c>
      <c r="F50" s="85">
        <f t="shared" si="22"/>
        <v>179499.65255753521</v>
      </c>
      <c r="G50" s="85">
        <f t="shared" si="22"/>
        <v>179499.65255753521</v>
      </c>
      <c r="H50" s="85">
        <f t="shared" si="22"/>
        <v>360625.98436879856</v>
      </c>
      <c r="I50" s="85">
        <f t="shared" si="22"/>
        <v>360625.98436879856</v>
      </c>
      <c r="J50" s="85">
        <f t="shared" si="22"/>
        <v>360625.98436879856</v>
      </c>
      <c r="K50" s="85">
        <f t="shared" si="22"/>
        <v>523639.68299893523</v>
      </c>
      <c r="L50" s="85">
        <f t="shared" si="22"/>
        <v>523639.68299893523</v>
      </c>
      <c r="M50" s="85">
        <f t="shared" si="22"/>
        <v>523639.68299893523</v>
      </c>
      <c r="N50" s="85">
        <f t="shared" si="22"/>
        <v>3195935.0121852108</v>
      </c>
    </row>
    <row r="51" spans="1:14" s="91" customFormat="1" ht="15" customHeight="1" x14ac:dyDescent="0.35">
      <c r="A51" s="89" t="s">
        <v>109</v>
      </c>
      <c r="B51" s="168">
        <f>B50/B14</f>
        <v>7.6254617240884602E-3</v>
      </c>
      <c r="C51" s="168">
        <f t="shared" ref="C51:N51" si="23">C50/C14</f>
        <v>-1.571659220146227E-3</v>
      </c>
      <c r="D51" s="168">
        <f t="shared" si="23"/>
        <v>-1.571659220146227E-3</v>
      </c>
      <c r="E51" s="168">
        <f t="shared" si="23"/>
        <v>0.1387426726238831</v>
      </c>
      <c r="F51" s="168">
        <f t="shared" si="23"/>
        <v>0.1387426726238831</v>
      </c>
      <c r="G51" s="168">
        <f t="shared" si="23"/>
        <v>0.1387426726238831</v>
      </c>
      <c r="H51" s="168">
        <f t="shared" si="23"/>
        <v>0.2322855605199026</v>
      </c>
      <c r="I51" s="168">
        <f t="shared" si="23"/>
        <v>0.2322855605199026</v>
      </c>
      <c r="J51" s="168">
        <f t="shared" si="23"/>
        <v>0.2322855605199026</v>
      </c>
      <c r="K51" s="168">
        <f t="shared" si="23"/>
        <v>0.29329179175643694</v>
      </c>
      <c r="L51" s="168">
        <f t="shared" si="23"/>
        <v>0.29329179175643694</v>
      </c>
      <c r="M51" s="168">
        <f t="shared" si="23"/>
        <v>0.29329179175643694</v>
      </c>
      <c r="N51" s="168">
        <f t="shared" si="23"/>
        <v>0.18799617718736539</v>
      </c>
    </row>
    <row r="52" spans="1:14" s="96" customFormat="1" ht="15" customHeight="1" x14ac:dyDescent="0.25">
      <c r="A52" s="49"/>
    </row>
    <row r="53" spans="1:14" s="96" customFormat="1" x14ac:dyDescent="0.25">
      <c r="A53" s="49"/>
    </row>
    <row r="54" spans="1:14" s="96" customFormat="1" x14ac:dyDescent="0.25">
      <c r="A54" s="49"/>
    </row>
  </sheetData>
  <mergeCells count="1">
    <mergeCell ref="A1:N1"/>
  </mergeCells>
  <printOptions horizontalCentered="1"/>
  <pageMargins left="0.19" right="1.02" top="0.49" bottom="0.35433070866141703" header="0.13" footer="0.31496062992126"/>
  <pageSetup paperSize="9" scale="55" orientation="landscape"/>
  <headerFooter>
    <oddHeader>&amp;C&amp;"Arial,Bold"&amp;12 PR COMPANY
&amp;14 Profit &amp;&amp; Loss Budget Overview
&amp;10 January through December 2011</oddHeader>
    <oddFooter>&amp;R&amp;"Arial,Bold"&amp;8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0"/>
  <sheetViews>
    <sheetView showGridLines="0" workbookViewId="0">
      <pane ySplit="3" topLeftCell="A43" activePane="bottomLeft" state="frozen"/>
      <selection pane="bottomLeft" activeCell="K46" sqref="K46"/>
    </sheetView>
  </sheetViews>
  <sheetFormatPr defaultColWidth="9.1796875" defaultRowHeight="14" x14ac:dyDescent="0.3"/>
  <cols>
    <col min="1" max="1" width="45" style="182" customWidth="1"/>
    <col min="2" max="2" width="19.54296875" style="183" customWidth="1"/>
    <col min="3" max="3" width="9.81640625" style="184" customWidth="1"/>
    <col min="4" max="4" width="2.54296875" style="182" customWidth="1"/>
    <col min="5" max="5" width="18.26953125" style="183" bestFit="1" customWidth="1"/>
    <col min="6" max="6" width="9.81640625" style="184" customWidth="1"/>
    <col min="7" max="7" width="2.54296875" style="182" customWidth="1"/>
    <col min="8" max="8" width="19.54296875" style="183" bestFit="1" customWidth="1"/>
    <col min="9" max="9" width="9.81640625" style="182" customWidth="1"/>
    <col min="10" max="10" width="2.54296875" style="182" customWidth="1"/>
    <col min="11" max="16384" width="9.1796875" style="182"/>
  </cols>
  <sheetData>
    <row r="1" spans="1:10" ht="15.5" x14ac:dyDescent="0.35">
      <c r="A1" s="594" t="s">
        <v>58</v>
      </c>
      <c r="B1" s="594"/>
      <c r="C1" s="594"/>
      <c r="D1" s="594"/>
      <c r="E1" s="594"/>
      <c r="F1" s="594"/>
      <c r="G1" s="594"/>
      <c r="H1" s="594"/>
      <c r="I1" s="594"/>
      <c r="J1" s="594"/>
    </row>
    <row r="2" spans="1:10" s="184" customFormat="1" ht="15.5" x14ac:dyDescent="0.35">
      <c r="A2" s="595" t="s">
        <v>114</v>
      </c>
      <c r="B2" s="595"/>
      <c r="C2" s="595"/>
      <c r="D2" s="595"/>
      <c r="E2" s="595"/>
      <c r="F2" s="595"/>
      <c r="G2" s="595"/>
      <c r="H2" s="595"/>
      <c r="I2" s="595"/>
      <c r="J2" s="595"/>
    </row>
    <row r="3" spans="1:10" s="184" customFormat="1" ht="15.5" x14ac:dyDescent="0.35">
      <c r="A3" s="185" t="s">
        <v>113</v>
      </c>
      <c r="B3" s="186"/>
      <c r="C3" s="187"/>
      <c r="D3" s="188"/>
      <c r="E3" s="186"/>
      <c r="F3" s="187"/>
      <c r="G3" s="189"/>
      <c r="H3" s="186"/>
      <c r="I3" s="187"/>
      <c r="J3" s="189"/>
    </row>
    <row r="4" spans="1:10" s="184" customFormat="1" x14ac:dyDescent="0.3">
      <c r="A4" s="189"/>
      <c r="B4" s="590" t="s">
        <v>80</v>
      </c>
      <c r="C4" s="591"/>
      <c r="D4" s="190"/>
      <c r="E4" s="592" t="s">
        <v>75</v>
      </c>
      <c r="F4" s="592"/>
      <c r="G4" s="191"/>
      <c r="H4" s="593" t="s">
        <v>81</v>
      </c>
      <c r="I4" s="593"/>
      <c r="J4" s="192"/>
    </row>
    <row r="5" spans="1:10" s="193" customFormat="1" ht="23" x14ac:dyDescent="0.35">
      <c r="A5" s="194"/>
      <c r="B5" s="195" t="s">
        <v>0</v>
      </c>
      <c r="C5" s="196" t="s">
        <v>59</v>
      </c>
      <c r="D5" s="197"/>
      <c r="E5" s="198" t="s">
        <v>0</v>
      </c>
      <c r="F5" s="199" t="s">
        <v>59</v>
      </c>
      <c r="G5" s="200"/>
      <c r="H5" s="201" t="s">
        <v>0</v>
      </c>
      <c r="I5" s="202" t="s">
        <v>59</v>
      </c>
      <c r="J5" s="203"/>
    </row>
    <row r="6" spans="1:10" s="204" customFormat="1" ht="13" x14ac:dyDescent="0.3">
      <c r="A6" s="205"/>
      <c r="B6" s="206" t="s">
        <v>60</v>
      </c>
      <c r="C6" s="207"/>
      <c r="D6" s="208"/>
      <c r="E6" s="209" t="s">
        <v>60</v>
      </c>
      <c r="F6" s="210"/>
      <c r="G6" s="211"/>
      <c r="H6" s="212" t="s">
        <v>60</v>
      </c>
      <c r="I6" s="213"/>
      <c r="J6" s="214"/>
    </row>
    <row r="7" spans="1:10" x14ac:dyDescent="0.3">
      <c r="A7" s="215" t="s">
        <v>77</v>
      </c>
      <c r="B7" s="216"/>
      <c r="C7" s="217"/>
      <c r="D7" s="218"/>
      <c r="E7" s="219"/>
      <c r="F7" s="220"/>
      <c r="G7" s="221"/>
      <c r="H7" s="222"/>
      <c r="I7" s="223"/>
      <c r="J7" s="224"/>
    </row>
    <row r="8" spans="1:10" x14ac:dyDescent="0.3">
      <c r="A8" s="224" t="s">
        <v>108</v>
      </c>
      <c r="B8" s="216">
        <f>+'MEIL 2012 Budget (Orig)'!N15</f>
        <v>0</v>
      </c>
      <c r="C8" s="217"/>
      <c r="D8" s="218"/>
      <c r="E8" s="219">
        <f>'OCK 2012 Budget'!N8</f>
        <v>28680000</v>
      </c>
      <c r="F8" s="220"/>
      <c r="G8" s="221"/>
      <c r="H8" s="222">
        <f>'Consolidated Budget 2012'!P9</f>
        <v>19080000</v>
      </c>
      <c r="I8" s="223"/>
      <c r="J8" s="224"/>
    </row>
    <row r="9" spans="1:10" x14ac:dyDescent="0.3">
      <c r="A9" s="224"/>
      <c r="B9" s="225">
        <f>SUM(B8)</f>
        <v>0</v>
      </c>
      <c r="C9" s="217"/>
      <c r="D9" s="218"/>
      <c r="E9" s="226">
        <f>SUM(E8)</f>
        <v>28680000</v>
      </c>
      <c r="F9" s="220"/>
      <c r="G9" s="221"/>
      <c r="H9" s="227">
        <f>SUM(H8)</f>
        <v>19080000</v>
      </c>
      <c r="I9" s="223"/>
      <c r="J9" s="224"/>
    </row>
    <row r="10" spans="1:10" x14ac:dyDescent="0.3">
      <c r="A10" s="215" t="s">
        <v>79</v>
      </c>
      <c r="B10" s="216"/>
      <c r="C10" s="217"/>
      <c r="D10" s="218"/>
      <c r="E10" s="219"/>
      <c r="F10" s="220"/>
      <c r="G10" s="221"/>
      <c r="H10" s="222">
        <f>+B10+E10</f>
        <v>0</v>
      </c>
      <c r="I10" s="223"/>
      <c r="J10" s="224"/>
    </row>
    <row r="11" spans="1:10" x14ac:dyDescent="0.3">
      <c r="A11" s="224" t="s">
        <v>78</v>
      </c>
      <c r="B11" s="216">
        <f>+'MEIL 2012 Budget (Orig)'!N24</f>
        <v>124200000</v>
      </c>
      <c r="C11" s="217"/>
      <c r="D11" s="218"/>
      <c r="E11" s="219">
        <f>'OCK 2012 Budget'!N15</f>
        <v>8958000</v>
      </c>
      <c r="F11" s="220"/>
      <c r="G11" s="221"/>
      <c r="H11" s="222">
        <f>'Consolidated Budget 2012'!P14</f>
        <v>133158000.00000003</v>
      </c>
      <c r="I11" s="223"/>
      <c r="J11" s="224"/>
    </row>
    <row r="12" spans="1:10" x14ac:dyDescent="0.3">
      <c r="A12" s="224"/>
      <c r="B12" s="225">
        <f>SUM(B11)</f>
        <v>124200000</v>
      </c>
      <c r="C12" s="217"/>
      <c r="D12" s="218"/>
      <c r="E12" s="226">
        <f>SUM(E11)</f>
        <v>8958000</v>
      </c>
      <c r="F12" s="220"/>
      <c r="G12" s="221"/>
      <c r="H12" s="227">
        <f>+B12+E12</f>
        <v>133158000</v>
      </c>
      <c r="I12" s="223"/>
      <c r="J12" s="224"/>
    </row>
    <row r="13" spans="1:10" x14ac:dyDescent="0.3">
      <c r="A13" s="224"/>
      <c r="B13" s="216"/>
      <c r="C13" s="217"/>
      <c r="D13" s="218"/>
      <c r="E13" s="219"/>
      <c r="F13" s="220"/>
      <c r="G13" s="221"/>
      <c r="H13" s="222">
        <f>+B13+E13</f>
        <v>0</v>
      </c>
      <c r="I13" s="223"/>
      <c r="J13" s="224"/>
    </row>
    <row r="14" spans="1:10" x14ac:dyDescent="0.3">
      <c r="A14" s="215" t="s">
        <v>41</v>
      </c>
      <c r="B14" s="228">
        <f>+B9-B12</f>
        <v>-124200000</v>
      </c>
      <c r="C14" s="217"/>
      <c r="D14" s="229"/>
      <c r="E14" s="230">
        <f>+E9-E12</f>
        <v>19722000</v>
      </c>
      <c r="F14" s="220"/>
      <c r="G14" s="231"/>
      <c r="H14" s="232">
        <f>+H9-H12</f>
        <v>-114078000</v>
      </c>
      <c r="I14" s="223"/>
      <c r="J14" s="233"/>
    </row>
    <row r="15" spans="1:10" s="184" customFormat="1" ht="14.5" x14ac:dyDescent="0.35">
      <c r="A15" s="234" t="s">
        <v>107</v>
      </c>
      <c r="B15" s="235" t="e">
        <f>B14/B9</f>
        <v>#DIV/0!</v>
      </c>
      <c r="C15" s="236"/>
      <c r="D15" s="237"/>
      <c r="E15" s="238">
        <f>E14/E9</f>
        <v>0.68765690376569033</v>
      </c>
      <c r="F15" s="239"/>
      <c r="G15" s="240"/>
      <c r="H15" s="241">
        <f>H14/H9</f>
        <v>-5.9789308176100633</v>
      </c>
      <c r="I15" s="242"/>
      <c r="J15" s="243"/>
    </row>
    <row r="16" spans="1:10" x14ac:dyDescent="0.3">
      <c r="A16" s="215" t="s">
        <v>61</v>
      </c>
      <c r="B16" s="216"/>
      <c r="C16" s="217"/>
      <c r="D16" s="218"/>
      <c r="E16" s="219"/>
      <c r="F16" s="220"/>
      <c r="G16" s="221"/>
      <c r="H16" s="222">
        <f>+B16+E16</f>
        <v>0</v>
      </c>
      <c r="I16" s="223"/>
      <c r="J16" s="224"/>
    </row>
    <row r="17" spans="1:10" x14ac:dyDescent="0.3">
      <c r="A17" s="215" t="s">
        <v>62</v>
      </c>
      <c r="B17" s="216"/>
      <c r="C17" s="217"/>
      <c r="D17" s="218"/>
      <c r="E17" s="219"/>
      <c r="F17" s="220"/>
      <c r="G17" s="221"/>
      <c r="H17" s="222">
        <f>+B17+E17</f>
        <v>0</v>
      </c>
      <c r="I17" s="223"/>
      <c r="J17" s="224"/>
    </row>
    <row r="18" spans="1:10" x14ac:dyDescent="0.3">
      <c r="A18" s="224" t="s">
        <v>1</v>
      </c>
      <c r="B18" s="216">
        <f>+'MEIL 2012 Budget (Orig)'!N32</f>
        <v>700000.00000000012</v>
      </c>
      <c r="C18" s="217"/>
      <c r="D18" s="218"/>
      <c r="E18" s="219">
        <f>'OCK 2012 Budget'!N23</f>
        <v>60000</v>
      </c>
      <c r="F18" s="220"/>
      <c r="G18" s="221"/>
      <c r="H18" s="222">
        <f>'Consolidated Budget 2012'!P22</f>
        <v>556000.00000000012</v>
      </c>
      <c r="I18" s="223"/>
      <c r="J18" s="224"/>
    </row>
    <row r="19" spans="1:10" x14ac:dyDescent="0.3">
      <c r="A19" s="224" t="s">
        <v>53</v>
      </c>
      <c r="B19" s="216">
        <f>+'MEIL 2012 Budget (Orig)'!N36</f>
        <v>4500000</v>
      </c>
      <c r="C19" s="217"/>
      <c r="D19" s="218"/>
      <c r="E19" s="219"/>
      <c r="F19" s="220"/>
      <c r="G19" s="221"/>
      <c r="H19" s="222">
        <f>'Consolidated Budget 2012'!P27</f>
        <v>4500000</v>
      </c>
      <c r="I19" s="223"/>
      <c r="J19" s="224"/>
    </row>
    <row r="20" spans="1:10" x14ac:dyDescent="0.3">
      <c r="A20" s="224" t="s">
        <v>5</v>
      </c>
      <c r="B20" s="216">
        <f>+'MEIL 2012 Budget (Orig)'!N38</f>
        <v>660000</v>
      </c>
      <c r="C20" s="217"/>
      <c r="D20" s="218"/>
      <c r="E20" s="219">
        <f>'OCK 2012 Budget'!N28</f>
        <v>60000</v>
      </c>
      <c r="F20" s="220"/>
      <c r="G20" s="221"/>
      <c r="H20" s="222">
        <f>'Consolidated Budget 2012'!P29</f>
        <v>660000</v>
      </c>
      <c r="I20" s="223"/>
      <c r="J20" s="224"/>
    </row>
    <row r="21" spans="1:10" x14ac:dyDescent="0.3">
      <c r="A21" s="224"/>
      <c r="B21" s="244">
        <f>SUM(B18:B20)</f>
        <v>5860000</v>
      </c>
      <c r="C21" s="245">
        <f>B21/$B$14</f>
        <v>-4.7181964573268918E-2</v>
      </c>
      <c r="D21" s="218"/>
      <c r="E21" s="246">
        <f>SUM(E18:E20)</f>
        <v>120000</v>
      </c>
      <c r="F21" s="247">
        <f>E21/$E$14</f>
        <v>6.0845756008518406E-3</v>
      </c>
      <c r="G21" s="221"/>
      <c r="H21" s="248">
        <f>SUM(H18:H20)</f>
        <v>5716000</v>
      </c>
      <c r="I21" s="249">
        <f>H21/$H$14</f>
        <v>-5.0106067778186852E-2</v>
      </c>
      <c r="J21" s="224"/>
    </row>
    <row r="22" spans="1:10" x14ac:dyDescent="0.3">
      <c r="A22" s="215" t="s">
        <v>63</v>
      </c>
      <c r="B22" s="216"/>
      <c r="C22" s="217"/>
      <c r="D22" s="218"/>
      <c r="E22" s="219"/>
      <c r="F22" s="220"/>
      <c r="G22" s="221"/>
      <c r="H22" s="222">
        <f>+B22+E22</f>
        <v>0</v>
      </c>
      <c r="I22" s="223"/>
      <c r="J22" s="224"/>
    </row>
    <row r="23" spans="1:10" x14ac:dyDescent="0.3">
      <c r="A23" s="224" t="s">
        <v>21</v>
      </c>
      <c r="B23" s="216">
        <f>+'MEIL 2012 Budget (Orig)'!N43</f>
        <v>65400000</v>
      </c>
      <c r="C23" s="217"/>
      <c r="D23" s="218"/>
      <c r="E23" s="219">
        <f>'OCK 2012 Budget'!N34</f>
        <v>1020000</v>
      </c>
      <c r="F23" s="220"/>
      <c r="G23" s="221"/>
      <c r="H23" s="222">
        <f>'Consolidated Budget 2012'!P35</f>
        <v>65400000</v>
      </c>
      <c r="I23" s="223"/>
      <c r="J23" s="224"/>
    </row>
    <row r="24" spans="1:10" x14ac:dyDescent="0.3">
      <c r="A24" s="224" t="s">
        <v>22</v>
      </c>
      <c r="B24" s="216">
        <f>+'MEIL 2012 Budget (Orig)'!N44</f>
        <v>3600000</v>
      </c>
      <c r="C24" s="217"/>
      <c r="D24" s="218"/>
      <c r="E24" s="219">
        <f>+'OCK 2012 Budget'!N35</f>
        <v>60000</v>
      </c>
      <c r="F24" s="220"/>
      <c r="G24" s="221"/>
      <c r="H24" s="222">
        <f>'Consolidated Budget 2012'!P36</f>
        <v>3480000</v>
      </c>
      <c r="I24" s="223"/>
      <c r="J24" s="224"/>
    </row>
    <row r="25" spans="1:10" x14ac:dyDescent="0.3">
      <c r="A25" s="224"/>
      <c r="B25" s="244">
        <f>SUM(B23:B24)</f>
        <v>69000000</v>
      </c>
      <c r="C25" s="245">
        <f>B25/$B$14</f>
        <v>-0.55555555555555558</v>
      </c>
      <c r="D25" s="218"/>
      <c r="E25" s="246">
        <f>SUM(E23:E24)</f>
        <v>1080000</v>
      </c>
      <c r="F25" s="247">
        <f>E25/$E$14</f>
        <v>5.4761180407666567E-2</v>
      </c>
      <c r="G25" s="221"/>
      <c r="H25" s="248">
        <f>SUM(H23:H24)</f>
        <v>68880000</v>
      </c>
      <c r="I25" s="249">
        <f>H25/$H$14</f>
        <v>-0.603797401777731</v>
      </c>
      <c r="J25" s="224"/>
    </row>
    <row r="26" spans="1:10" x14ac:dyDescent="0.3">
      <c r="A26" s="215" t="s">
        <v>64</v>
      </c>
      <c r="B26" s="216"/>
      <c r="C26" s="217"/>
      <c r="D26" s="218"/>
      <c r="E26" s="219"/>
      <c r="F26" s="220"/>
      <c r="G26" s="221"/>
      <c r="H26" s="222">
        <f>+B26+E26</f>
        <v>0</v>
      </c>
      <c r="I26" s="223"/>
      <c r="J26" s="224"/>
    </row>
    <row r="27" spans="1:10" x14ac:dyDescent="0.3">
      <c r="A27" s="224" t="s">
        <v>36</v>
      </c>
      <c r="B27" s="216">
        <f>+'MEIL 2012 Budget (Orig)'!N29</f>
        <v>250000.00000000003</v>
      </c>
      <c r="C27" s="217"/>
      <c r="D27" s="218"/>
      <c r="E27" s="219">
        <f>'OCK 2012 Budget'!N20</f>
        <v>60000</v>
      </c>
      <c r="F27" s="220"/>
      <c r="G27" s="221"/>
      <c r="H27" s="222">
        <f>'Consolidated Budget 2012'!P19</f>
        <v>310000</v>
      </c>
      <c r="I27" s="223"/>
      <c r="J27" s="224"/>
    </row>
    <row r="28" spans="1:10" x14ac:dyDescent="0.3">
      <c r="A28" s="224" t="s">
        <v>65</v>
      </c>
      <c r="B28" s="216">
        <f>+'MEIL 2012 Budget (Orig)'!N30</f>
        <v>300000</v>
      </c>
      <c r="C28" s="217"/>
      <c r="D28" s="218"/>
      <c r="E28" s="219">
        <f>'OCK 2012 Budget'!N21</f>
        <v>60000</v>
      </c>
      <c r="F28" s="220"/>
      <c r="G28" s="221"/>
      <c r="H28" s="222">
        <f>'Consolidated Budget 2012'!P20</f>
        <v>264000</v>
      </c>
      <c r="I28" s="223"/>
      <c r="J28" s="224"/>
    </row>
    <row r="29" spans="1:10" x14ac:dyDescent="0.3">
      <c r="A29" s="224" t="s">
        <v>39</v>
      </c>
      <c r="B29" s="216">
        <f>+'MEIL 2012 Budget (Orig)'!N47</f>
        <v>2400000</v>
      </c>
      <c r="C29" s="217"/>
      <c r="D29" s="218"/>
      <c r="E29" s="219">
        <f>'OCK 2012 Budget'!N38</f>
        <v>7200000</v>
      </c>
      <c r="F29" s="220"/>
      <c r="G29" s="221"/>
      <c r="H29" s="222">
        <f>+'Consolidated Budget 2012'!P26</f>
        <v>9600000</v>
      </c>
      <c r="I29" s="223"/>
      <c r="J29" s="224"/>
    </row>
    <row r="30" spans="1:10" x14ac:dyDescent="0.3">
      <c r="A30" s="122" t="s">
        <v>38</v>
      </c>
      <c r="B30" s="216"/>
      <c r="C30" s="217"/>
      <c r="D30" s="218"/>
      <c r="E30" s="219">
        <f>+'OCK 2012 Budget'!N33</f>
        <v>4440000</v>
      </c>
      <c r="F30" s="220"/>
      <c r="G30" s="221"/>
      <c r="H30" s="222">
        <f>+'Consolidated Budget 2012'!P34</f>
        <v>0</v>
      </c>
      <c r="I30" s="223"/>
      <c r="J30" s="224"/>
    </row>
    <row r="31" spans="1:10" x14ac:dyDescent="0.3">
      <c r="A31" s="224" t="s">
        <v>82</v>
      </c>
      <c r="B31" s="216">
        <f>+'MEIL 2012 Budget (Orig)'!N55</f>
        <v>102705000</v>
      </c>
      <c r="C31" s="217"/>
      <c r="D31" s="218"/>
      <c r="E31" s="219">
        <f>'OCK 2012 Budget'!N46</f>
        <v>60000</v>
      </c>
      <c r="F31" s="220"/>
      <c r="G31" s="221"/>
      <c r="H31" s="222">
        <f>'Consolidated Budget 2012'!P46</f>
        <v>102585000</v>
      </c>
      <c r="I31" s="223"/>
      <c r="J31" s="224"/>
    </row>
    <row r="32" spans="1:10" x14ac:dyDescent="0.3">
      <c r="A32" s="224" t="s">
        <v>4</v>
      </c>
      <c r="B32" s="216">
        <f>+'MEIL 2012 Budget (Orig)'!N56</f>
        <v>0.82693236714975848</v>
      </c>
      <c r="C32" s="217"/>
      <c r="D32" s="218"/>
      <c r="E32" s="219">
        <f>'OCK 2012 Budget'!N47</f>
        <v>30000</v>
      </c>
      <c r="F32" s="220"/>
      <c r="G32" s="221"/>
      <c r="H32" s="222">
        <f>'Consolidated Budget 2012'!P47</f>
        <v>-89989.487724180653</v>
      </c>
      <c r="I32" s="223"/>
      <c r="J32" s="224"/>
    </row>
    <row r="33" spans="1:10" x14ac:dyDescent="0.3">
      <c r="A33" s="224"/>
      <c r="B33" s="244">
        <f>SUM(B27:B32)</f>
        <v>105655000.82693237</v>
      </c>
      <c r="C33" s="245">
        <f>B33/$B$14</f>
        <v>-0.85068438669027668</v>
      </c>
      <c r="D33" s="218"/>
      <c r="E33" s="246">
        <f>SUM(E27:E32)</f>
        <v>11850000</v>
      </c>
      <c r="F33" s="247">
        <f>E33/$E$14</f>
        <v>0.60085184058411922</v>
      </c>
      <c r="G33" s="221"/>
      <c r="H33" s="248">
        <f>SUM(H27:H32)</f>
        <v>112669010.51227582</v>
      </c>
      <c r="I33" s="249">
        <f>H33/$H$14</f>
        <v>-0.98764889384698029</v>
      </c>
      <c r="J33" s="224"/>
    </row>
    <row r="34" spans="1:10" x14ac:dyDescent="0.3">
      <c r="A34" s="215" t="s">
        <v>66</v>
      </c>
      <c r="B34" s="216"/>
      <c r="C34" s="217"/>
      <c r="D34" s="218"/>
      <c r="E34" s="219"/>
      <c r="F34" s="220"/>
      <c r="G34" s="221"/>
      <c r="H34" s="222">
        <f>+B34+E34</f>
        <v>0</v>
      </c>
      <c r="I34" s="223"/>
      <c r="J34" s="224"/>
    </row>
    <row r="35" spans="1:10" x14ac:dyDescent="0.3">
      <c r="A35" s="224" t="s">
        <v>13</v>
      </c>
      <c r="B35" s="216">
        <f>+'MEIL 2012 Budget (Orig)'!N31</f>
        <v>199999.99999999997</v>
      </c>
      <c r="C35" s="217"/>
      <c r="D35" s="218"/>
      <c r="E35" s="219">
        <f>'OCK 2012 Budget'!N22</f>
        <v>60000</v>
      </c>
      <c r="F35" s="220"/>
      <c r="G35" s="221"/>
      <c r="H35" s="222">
        <f>'Consolidated Budget 2012'!P21</f>
        <v>175999.99999999997</v>
      </c>
      <c r="I35" s="223"/>
      <c r="J35" s="224"/>
    </row>
    <row r="36" spans="1:10" x14ac:dyDescent="0.3">
      <c r="A36" s="224" t="s">
        <v>14</v>
      </c>
      <c r="B36" s="216">
        <f>+'MEIL 2012 Budget (Orig)'!N33</f>
        <v>1200000</v>
      </c>
      <c r="C36" s="217"/>
      <c r="D36" s="218"/>
      <c r="E36" s="219">
        <f>'OCK 2012 Budget'!N24</f>
        <v>60000</v>
      </c>
      <c r="F36" s="220"/>
      <c r="G36" s="221"/>
      <c r="H36" s="222">
        <f>'Consolidated Budget 2012'!P23</f>
        <v>1140000</v>
      </c>
      <c r="I36" s="223"/>
      <c r="J36" s="224"/>
    </row>
    <row r="37" spans="1:10" x14ac:dyDescent="0.3">
      <c r="A37" s="224" t="s">
        <v>15</v>
      </c>
      <c r="B37" s="216">
        <f>+'MEIL 2012 Budget (Orig)'!N34</f>
        <v>60000</v>
      </c>
      <c r="C37" s="217"/>
      <c r="D37" s="218"/>
      <c r="E37" s="219">
        <f>'OCK 2012 Budget'!N25</f>
        <v>60000</v>
      </c>
      <c r="F37" s="220"/>
      <c r="G37" s="221"/>
      <c r="H37" s="222">
        <f>'Consolidated Budget 2012'!P24</f>
        <v>-120000</v>
      </c>
      <c r="I37" s="223"/>
      <c r="J37" s="224"/>
    </row>
    <row r="38" spans="1:10" x14ac:dyDescent="0.3">
      <c r="A38" s="224" t="s">
        <v>2</v>
      </c>
      <c r="B38" s="216">
        <f>+'MEIL 2012 Budget (Orig)'!N35</f>
        <v>150000</v>
      </c>
      <c r="C38" s="217"/>
      <c r="D38" s="218"/>
      <c r="E38" s="219">
        <f>'OCK 2012 Budget'!N26</f>
        <v>480000</v>
      </c>
      <c r="F38" s="220"/>
      <c r="G38" s="221"/>
      <c r="H38" s="222">
        <f>'Consolidated Budget 2012'!P25</f>
        <v>150000</v>
      </c>
      <c r="I38" s="223"/>
      <c r="J38" s="224"/>
    </row>
    <row r="39" spans="1:10" x14ac:dyDescent="0.3">
      <c r="A39" s="224" t="s">
        <v>16</v>
      </c>
      <c r="B39" s="216">
        <f>+'MEIL 2012 Budget (Orig)'!N37</f>
        <v>240000</v>
      </c>
      <c r="C39" s="217"/>
      <c r="D39" s="218"/>
      <c r="E39" s="219">
        <f>'OCK 2012 Budget'!N27</f>
        <v>60000</v>
      </c>
      <c r="F39" s="220"/>
      <c r="G39" s="221"/>
      <c r="H39" s="222">
        <f>'Consolidated Budget 2012'!P28</f>
        <v>120000</v>
      </c>
      <c r="I39" s="223"/>
      <c r="J39" s="224"/>
    </row>
    <row r="40" spans="1:10" x14ac:dyDescent="0.3">
      <c r="A40" s="224" t="s">
        <v>37</v>
      </c>
      <c r="B40" s="216">
        <f>+'MEIL 2012 Budget (Orig)'!N39</f>
        <v>600000</v>
      </c>
      <c r="C40" s="217"/>
      <c r="D40" s="218"/>
      <c r="E40" s="219">
        <f>'OCK 2012 Budget'!N29</f>
        <v>60000</v>
      </c>
      <c r="F40" s="220"/>
      <c r="G40" s="221"/>
      <c r="H40" s="222">
        <f>'Consolidated Budget 2012'!P30</f>
        <v>600000</v>
      </c>
      <c r="I40" s="223"/>
      <c r="J40" s="224"/>
    </row>
    <row r="41" spans="1:10" x14ac:dyDescent="0.3">
      <c r="A41" s="224" t="s">
        <v>18</v>
      </c>
      <c r="B41" s="216">
        <f>+'MEIL 2012 Budget (Orig)'!N40</f>
        <v>2000000.0000000002</v>
      </c>
      <c r="C41" s="217"/>
      <c r="D41" s="218"/>
      <c r="E41" s="219">
        <f>'OCK 2012 Budget'!N30</f>
        <v>60000</v>
      </c>
      <c r="F41" s="220"/>
      <c r="G41" s="221"/>
      <c r="H41" s="222">
        <f>'Consolidated Budget 2012'!P31</f>
        <v>1964000.0000000002</v>
      </c>
      <c r="I41" s="223"/>
      <c r="J41" s="224"/>
    </row>
    <row r="42" spans="1:10" x14ac:dyDescent="0.3">
      <c r="A42" s="224" t="s">
        <v>19</v>
      </c>
      <c r="B42" s="216">
        <f>+'MEIL 2012 Budget (Orig)'!N41</f>
        <v>5625000</v>
      </c>
      <c r="C42" s="217"/>
      <c r="D42" s="218"/>
      <c r="E42" s="219">
        <f>'OCK 2012 Budget'!N31</f>
        <v>60000</v>
      </c>
      <c r="F42" s="220"/>
      <c r="G42" s="221"/>
      <c r="H42" s="222">
        <f>'Consolidated Budget 2012'!P32</f>
        <v>5565000</v>
      </c>
      <c r="I42" s="223"/>
      <c r="J42" s="224"/>
    </row>
    <row r="43" spans="1:10" x14ac:dyDescent="0.3">
      <c r="A43" s="224" t="s">
        <v>20</v>
      </c>
      <c r="B43" s="216">
        <f>+'MEIL 2012 Budget (Orig)'!N42</f>
        <v>399999.99999999994</v>
      </c>
      <c r="C43" s="217"/>
      <c r="D43" s="218"/>
      <c r="E43" s="219">
        <f>'OCK 2012 Budget'!N32</f>
        <v>180000</v>
      </c>
      <c r="F43" s="220"/>
      <c r="G43" s="221"/>
      <c r="H43" s="222">
        <f>'Consolidated Budget 2012'!P33</f>
        <v>400000</v>
      </c>
      <c r="I43" s="223"/>
      <c r="J43" s="224"/>
    </row>
    <row r="44" spans="1:10" x14ac:dyDescent="0.3">
      <c r="A44" s="224" t="s">
        <v>28</v>
      </c>
      <c r="B44" s="216">
        <f>+'MEIL 2012 Budget (Orig)'!N53</f>
        <v>120000</v>
      </c>
      <c r="C44" s="217"/>
      <c r="D44" s="218"/>
      <c r="E44" s="219">
        <f>'OCK 2012 Budget'!N44</f>
        <v>240000</v>
      </c>
      <c r="F44" s="220"/>
      <c r="G44" s="221"/>
      <c r="H44" s="222">
        <f>'Consolidated Budget 2012'!P44</f>
        <v>-60000</v>
      </c>
      <c r="I44" s="223"/>
      <c r="J44" s="224"/>
    </row>
    <row r="45" spans="1:10" x14ac:dyDescent="0.3">
      <c r="A45" s="224" t="s">
        <v>29</v>
      </c>
      <c r="B45" s="216">
        <f>+'MEIL 2012 Budget (Orig)'!N54</f>
        <v>600000</v>
      </c>
      <c r="C45" s="217"/>
      <c r="D45" s="218"/>
      <c r="E45" s="219">
        <f>'OCK 2012 Budget'!N45</f>
        <v>240000</v>
      </c>
      <c r="F45" s="220"/>
      <c r="G45" s="221"/>
      <c r="H45" s="222">
        <f>'Consolidated Budget 2012'!P45</f>
        <v>540000</v>
      </c>
      <c r="I45" s="223"/>
      <c r="J45" s="224"/>
    </row>
    <row r="46" spans="1:10" x14ac:dyDescent="0.3">
      <c r="A46" s="224" t="s">
        <v>26</v>
      </c>
      <c r="B46" s="216">
        <f>+'MEIL 2012 Budget (Orig)'!N51</f>
        <v>1200000</v>
      </c>
      <c r="C46" s="217"/>
      <c r="D46" s="218"/>
      <c r="E46" s="219">
        <v>0</v>
      </c>
      <c r="F46" s="220"/>
      <c r="G46" s="221"/>
      <c r="H46" s="222">
        <f>'Consolidated Budget 2012'!P42</f>
        <v>1200000</v>
      </c>
      <c r="I46" s="223"/>
      <c r="J46" s="224"/>
    </row>
    <row r="47" spans="1:10" x14ac:dyDescent="0.3">
      <c r="A47" s="224"/>
      <c r="B47" s="244">
        <f>SUM(B35:B46)</f>
        <v>12395000</v>
      </c>
      <c r="C47" s="245">
        <f>B47/$B$14</f>
        <v>-9.9798711755233499E-2</v>
      </c>
      <c r="D47" s="218"/>
      <c r="E47" s="246">
        <f>SUM(E35:E46)</f>
        <v>1560000</v>
      </c>
      <c r="F47" s="247">
        <f>E47/$E$14</f>
        <v>7.9099482811073929E-2</v>
      </c>
      <c r="G47" s="221"/>
      <c r="H47" s="248">
        <f>SUM(H35:H46)</f>
        <v>11675000</v>
      </c>
      <c r="I47" s="249">
        <f>H47/$H$14</f>
        <v>-0.10234225705219235</v>
      </c>
      <c r="J47" s="224"/>
    </row>
    <row r="48" spans="1:10" x14ac:dyDescent="0.3">
      <c r="A48" s="215" t="s">
        <v>67</v>
      </c>
      <c r="B48" s="216"/>
      <c r="C48" s="217"/>
      <c r="D48" s="218"/>
      <c r="E48" s="219"/>
      <c r="F48" s="220"/>
      <c r="G48" s="221"/>
      <c r="H48" s="222">
        <f>+B48+E48</f>
        <v>0</v>
      </c>
      <c r="I48" s="223"/>
      <c r="J48" s="224"/>
    </row>
    <row r="49" spans="1:11" x14ac:dyDescent="0.3">
      <c r="A49" s="224" t="s">
        <v>23</v>
      </c>
      <c r="B49" s="216">
        <f>+'MEIL 2012 Budget (Orig)'!N45+'MEIL 2012 Budget (Orig)'!N46</f>
        <v>4000000.0000000005</v>
      </c>
      <c r="C49" s="217"/>
      <c r="D49" s="218"/>
      <c r="E49" s="219">
        <f>'OCK 2012 Budget'!N36</f>
        <v>3120000</v>
      </c>
      <c r="F49" s="220"/>
      <c r="G49" s="221"/>
      <c r="H49" s="222">
        <f>'Consolidated Budget 2012'!P37+'Consolidated Budget 2012'!P38</f>
        <v>7120000</v>
      </c>
      <c r="I49" s="223"/>
      <c r="J49" s="224"/>
    </row>
    <row r="50" spans="1:11" x14ac:dyDescent="0.3">
      <c r="A50" s="224" t="s">
        <v>89</v>
      </c>
      <c r="B50" s="216">
        <f>+'MEIL 2012 Budget (Orig)'!N48</f>
        <v>2400000</v>
      </c>
      <c r="C50" s="217"/>
      <c r="D50" s="218"/>
      <c r="E50" s="219">
        <f>'OCK 2012 Budget'!N37</f>
        <v>900000</v>
      </c>
      <c r="F50" s="220"/>
      <c r="G50" s="221"/>
      <c r="H50" s="222">
        <f>'Consolidated Budget 2012'!P39</f>
        <v>3300000</v>
      </c>
      <c r="I50" s="223"/>
      <c r="J50" s="224"/>
    </row>
    <row r="51" spans="1:11" x14ac:dyDescent="0.3">
      <c r="A51" s="224" t="s">
        <v>24</v>
      </c>
      <c r="B51" s="216">
        <f>+'MEIL 2012 Budget (Orig)'!N49</f>
        <v>99999.999999999985</v>
      </c>
      <c r="C51" s="217"/>
      <c r="D51" s="218"/>
      <c r="E51" s="219">
        <f>'OCK 2012 Budget'!N40</f>
        <v>156000</v>
      </c>
      <c r="F51" s="220"/>
      <c r="G51" s="221"/>
      <c r="H51" s="222">
        <f>'Consolidated Budget 2012'!P40</f>
        <v>256000.00000000009</v>
      </c>
      <c r="I51" s="223"/>
      <c r="J51" s="224"/>
    </row>
    <row r="52" spans="1:11" x14ac:dyDescent="0.3">
      <c r="A52" s="224" t="s">
        <v>68</v>
      </c>
      <c r="B52" s="216">
        <f>+'MEIL 2012 Budget (Orig)'!N50</f>
        <v>2000000.0000000002</v>
      </c>
      <c r="C52" s="217"/>
      <c r="D52" s="218"/>
      <c r="E52" s="219">
        <f>'OCK 2012 Budget'!N41</f>
        <v>360000</v>
      </c>
      <c r="F52" s="220"/>
      <c r="G52" s="221"/>
      <c r="H52" s="222">
        <f>'Consolidated Budget 2012'!P41</f>
        <v>1580000</v>
      </c>
      <c r="I52" s="223"/>
      <c r="J52" s="224"/>
    </row>
    <row r="53" spans="1:11" x14ac:dyDescent="0.3">
      <c r="A53" s="224" t="s">
        <v>27</v>
      </c>
      <c r="B53" s="216">
        <f>+'MEIL 2012 Budget (Orig)'!N52</f>
        <v>3000000</v>
      </c>
      <c r="C53" s="217"/>
      <c r="D53" s="218"/>
      <c r="E53" s="219">
        <f>'OCK 2012 Budget'!N43</f>
        <v>60000</v>
      </c>
      <c r="F53" s="220"/>
      <c r="G53" s="221"/>
      <c r="H53" s="222">
        <f>'Consolidated Budget 2012'!P43</f>
        <v>2820000</v>
      </c>
      <c r="I53" s="223"/>
      <c r="J53" s="224"/>
    </row>
    <row r="54" spans="1:11" x14ac:dyDescent="0.3">
      <c r="A54" s="250"/>
      <c r="B54" s="244">
        <f>SUM(B49:B53)</f>
        <v>11500000</v>
      </c>
      <c r="C54" s="245">
        <f>B54/$B$14</f>
        <v>-9.2592592592592587E-2</v>
      </c>
      <c r="D54" s="218"/>
      <c r="E54" s="246">
        <f>SUM(E49:E53)</f>
        <v>4596000</v>
      </c>
      <c r="F54" s="247">
        <f>E54/$E$14</f>
        <v>0.2330392455126255</v>
      </c>
      <c r="G54" s="221"/>
      <c r="H54" s="248">
        <f>SUM(H49:H53)</f>
        <v>15076000</v>
      </c>
      <c r="I54" s="249">
        <f>H54/$H$14</f>
        <v>-0.13215519206157192</v>
      </c>
      <c r="J54" s="224"/>
    </row>
    <row r="55" spans="1:11" x14ac:dyDescent="0.3">
      <c r="A55" s="251"/>
      <c r="B55" s="216"/>
      <c r="C55" s="217"/>
      <c r="D55" s="218"/>
      <c r="E55" s="219"/>
      <c r="F55" s="220"/>
      <c r="G55" s="221"/>
      <c r="H55" s="222">
        <f>+B55+E55</f>
        <v>0</v>
      </c>
      <c r="I55" s="223"/>
      <c r="J55" s="224"/>
    </row>
    <row r="56" spans="1:11" x14ac:dyDescent="0.3">
      <c r="A56" s="252" t="s">
        <v>69</v>
      </c>
      <c r="B56" s="225">
        <f>+B21+B25+B33+B47+B54</f>
        <v>204410000.82693237</v>
      </c>
      <c r="C56" s="245">
        <f>B56/$B$14</f>
        <v>-1.6458132111669272</v>
      </c>
      <c r="D56" s="218"/>
      <c r="E56" s="226">
        <f>+E21+E25+E33+E47+E54</f>
        <v>19206000</v>
      </c>
      <c r="F56" s="247">
        <f>E56/$E$14</f>
        <v>0.97383632491633709</v>
      </c>
      <c r="G56" s="221"/>
      <c r="H56" s="227">
        <f>+H21+H25+H33+H47+H54</f>
        <v>214016010.51227582</v>
      </c>
      <c r="I56" s="249">
        <f>H56/$H$14</f>
        <v>-1.8760498125166625</v>
      </c>
      <c r="J56" s="224"/>
    </row>
    <row r="57" spans="1:11" x14ac:dyDescent="0.3">
      <c r="A57" s="224"/>
      <c r="B57" s="216"/>
      <c r="C57" s="217"/>
      <c r="D57" s="218"/>
      <c r="E57" s="219"/>
      <c r="F57" s="220"/>
      <c r="G57" s="221"/>
      <c r="H57" s="222"/>
      <c r="I57" s="223"/>
      <c r="J57" s="224"/>
    </row>
    <row r="58" spans="1:11" x14ac:dyDescent="0.3">
      <c r="A58" s="215" t="s">
        <v>70</v>
      </c>
      <c r="B58" s="253">
        <f>+B14-B56</f>
        <v>-328610000.82693237</v>
      </c>
      <c r="C58" s="245">
        <f>B58/$B$14</f>
        <v>2.6458132111669275</v>
      </c>
      <c r="D58" s="218"/>
      <c r="E58" s="254">
        <f>+E14-E56</f>
        <v>516000</v>
      </c>
      <c r="F58" s="247">
        <f>E58/$E$14</f>
        <v>2.6163675083662914E-2</v>
      </c>
      <c r="G58" s="221"/>
      <c r="H58" s="255">
        <f>+H14-H56</f>
        <v>-328094010.51227582</v>
      </c>
      <c r="I58" s="249">
        <f>H58/$H$14</f>
        <v>2.8760498125166625</v>
      </c>
      <c r="J58" s="224"/>
    </row>
    <row r="59" spans="1:11" x14ac:dyDescent="0.3">
      <c r="A59" s="215" t="s">
        <v>71</v>
      </c>
      <c r="B59" s="216"/>
      <c r="C59" s="217"/>
      <c r="D59" s="218"/>
      <c r="E59" s="219"/>
      <c r="F59" s="220"/>
      <c r="G59" s="221"/>
      <c r="H59" s="222">
        <f>+B59+E59</f>
        <v>0</v>
      </c>
      <c r="I59" s="223"/>
      <c r="J59" s="224"/>
    </row>
    <row r="60" spans="1:11" x14ac:dyDescent="0.3">
      <c r="A60" s="224" t="s">
        <v>72</v>
      </c>
      <c r="B60" s="216"/>
      <c r="C60" s="217"/>
      <c r="D60" s="218"/>
      <c r="E60" s="219"/>
      <c r="F60" s="220"/>
      <c r="G60" s="221"/>
      <c r="H60" s="222">
        <f>+B60+E60</f>
        <v>0</v>
      </c>
      <c r="I60" s="223"/>
      <c r="J60" s="224"/>
    </row>
    <row r="61" spans="1:11" x14ac:dyDescent="0.3">
      <c r="A61" s="224"/>
      <c r="B61" s="225">
        <f>SUM(B59:B60)</f>
        <v>0</v>
      </c>
      <c r="C61" s="245">
        <f>B61/$B$14</f>
        <v>0</v>
      </c>
      <c r="D61" s="218"/>
      <c r="E61" s="226">
        <f>SUM(E59:E60)</f>
        <v>0</v>
      </c>
      <c r="F61" s="247">
        <f>E61/$E$14</f>
        <v>0</v>
      </c>
      <c r="G61" s="221"/>
      <c r="H61" s="227">
        <f>SUM(H59:H60)</f>
        <v>0</v>
      </c>
      <c r="I61" s="249">
        <f>H61/$H$14</f>
        <v>0</v>
      </c>
      <c r="J61" s="224"/>
    </row>
    <row r="62" spans="1:11" x14ac:dyDescent="0.3">
      <c r="A62" s="224"/>
      <c r="B62" s="216"/>
      <c r="C62" s="217"/>
      <c r="D62" s="218"/>
      <c r="E62" s="219"/>
      <c r="F62" s="220"/>
      <c r="G62" s="221"/>
      <c r="H62" s="222">
        <f>+B62+E62</f>
        <v>0</v>
      </c>
      <c r="I62" s="223"/>
      <c r="J62" s="224"/>
    </row>
    <row r="63" spans="1:11" s="184" customFormat="1" x14ac:dyDescent="0.3">
      <c r="A63" s="256" t="s">
        <v>73</v>
      </c>
      <c r="B63" s="257">
        <f>+B58+B61</f>
        <v>-328610000.82693237</v>
      </c>
      <c r="C63" s="245">
        <f>B63/$B$14</f>
        <v>2.6458132111669275</v>
      </c>
      <c r="D63" s="258"/>
      <c r="E63" s="259">
        <f>+E58+E61</f>
        <v>516000</v>
      </c>
      <c r="F63" s="247">
        <f>E63/$E$14</f>
        <v>2.6163675083662914E-2</v>
      </c>
      <c r="G63" s="260"/>
      <c r="H63" s="261">
        <f>+H58+H61</f>
        <v>-328094010.51227582</v>
      </c>
      <c r="I63" s="249">
        <f>H63/$H$14</f>
        <v>2.8760498125166625</v>
      </c>
      <c r="J63" s="189"/>
      <c r="K63" s="262"/>
    </row>
    <row r="64" spans="1:11" s="263" customFormat="1" x14ac:dyDescent="0.3">
      <c r="B64" s="264"/>
      <c r="C64" s="265"/>
      <c r="D64" s="265"/>
      <c r="E64" s="266"/>
      <c r="F64" s="267"/>
      <c r="G64" s="267"/>
      <c r="H64" s="268"/>
      <c r="I64" s="269"/>
      <c r="J64" s="189"/>
      <c r="K64" s="184"/>
    </row>
    <row r="65" spans="1:11" x14ac:dyDescent="0.3">
      <c r="A65" s="270" t="s">
        <v>83</v>
      </c>
      <c r="B65" s="271">
        <f>B63*0.3</f>
        <v>-98583000.248079702</v>
      </c>
      <c r="C65" s="245">
        <f>B65/$B$14</f>
        <v>0.79374396335007813</v>
      </c>
      <c r="D65" s="272"/>
      <c r="E65" s="273">
        <f>E63*0.3</f>
        <v>154800</v>
      </c>
      <c r="F65" s="247">
        <f>E65/$E$14</f>
        <v>7.8491025250988743E-3</v>
      </c>
      <c r="G65" s="274"/>
      <c r="H65" s="275">
        <f>H63*0.3</f>
        <v>-98428203.153682739</v>
      </c>
      <c r="I65" s="249">
        <f>H65/$H$14</f>
        <v>0.86281494375499868</v>
      </c>
      <c r="J65" s="189"/>
      <c r="K65" s="184"/>
    </row>
    <row r="66" spans="1:11" x14ac:dyDescent="0.3">
      <c r="A66" s="256" t="s">
        <v>84</v>
      </c>
      <c r="B66" s="257">
        <f>B63-B65</f>
        <v>-230027000.57885265</v>
      </c>
      <c r="C66" s="245">
        <f>B66/$B$14</f>
        <v>1.852069247816849</v>
      </c>
      <c r="D66" s="276"/>
      <c r="E66" s="259">
        <f>E63-E65</f>
        <v>361200</v>
      </c>
      <c r="F66" s="247">
        <f>E66/$E$14</f>
        <v>1.831457255856404E-2</v>
      </c>
      <c r="G66" s="277"/>
      <c r="H66" s="261">
        <f>H63-H65</f>
        <v>-229665807.35859308</v>
      </c>
      <c r="I66" s="249">
        <f>H66/$H$14</f>
        <v>2.0132348687616637</v>
      </c>
      <c r="J66" s="189"/>
      <c r="K66" s="184"/>
    </row>
    <row r="67" spans="1:11" x14ac:dyDescent="0.3">
      <c r="B67" s="183">
        <f>+B56-'MEIL 2012 Budget (Orig)'!N57</f>
        <v>204410000.82693237</v>
      </c>
    </row>
    <row r="68" spans="1:11" ht="15.5" x14ac:dyDescent="0.35">
      <c r="A68" s="278" t="s">
        <v>91</v>
      </c>
    </row>
    <row r="69" spans="1:11" x14ac:dyDescent="0.3">
      <c r="A69" s="279" t="s">
        <v>93</v>
      </c>
    </row>
    <row r="70" spans="1:11" x14ac:dyDescent="0.3">
      <c r="A70" s="279" t="s">
        <v>94</v>
      </c>
    </row>
  </sheetData>
  <mergeCells count="5">
    <mergeCell ref="B4:C4"/>
    <mergeCell ref="E4:F4"/>
    <mergeCell ref="H4:I4"/>
    <mergeCell ref="A1:J1"/>
    <mergeCell ref="A2:J2"/>
  </mergeCells>
  <printOptions horizontalCentered="1" verticalCentered="1"/>
  <pageMargins left="0.23" right="0.18" top="0.34" bottom="0.74803149606299213" header="0.31496062992125984" footer="0.31496062992125984"/>
  <pageSetup paperSize="9" scale="6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
  <sheetViews>
    <sheetView workbookViewId="0">
      <selection activeCell="D20" sqref="D20"/>
    </sheetView>
  </sheetViews>
  <sheetFormatPr defaultColWidth="10" defaultRowHeight="14.5" x14ac:dyDescent="0.35"/>
  <cols>
    <col min="1" max="1" width="24" customWidth="1"/>
    <col min="2" max="8" width="18.7265625" customWidth="1"/>
  </cols>
  <sheetData>
    <row r="1" spans="1:8" ht="23.5" x14ac:dyDescent="0.55000000000000004">
      <c r="A1" s="596" t="s">
        <v>174</v>
      </c>
      <c r="B1" s="597"/>
      <c r="C1" s="597"/>
      <c r="D1" s="597"/>
      <c r="E1" s="597"/>
      <c r="F1" s="597"/>
      <c r="G1" s="597"/>
      <c r="H1" s="598"/>
    </row>
    <row r="2" spans="1:8" x14ac:dyDescent="0.35">
      <c r="A2" s="280" t="s">
        <v>170</v>
      </c>
      <c r="B2" s="281" t="s">
        <v>175</v>
      </c>
      <c r="C2" s="281" t="s">
        <v>176</v>
      </c>
      <c r="D2" s="281" t="s">
        <v>177</v>
      </c>
      <c r="E2" s="281" t="s">
        <v>178</v>
      </c>
      <c r="F2" s="281" t="s">
        <v>179</v>
      </c>
      <c r="G2" s="281" t="s">
        <v>180</v>
      </c>
      <c r="H2" s="281" t="s">
        <v>171</v>
      </c>
    </row>
    <row r="3" spans="1:8" x14ac:dyDescent="0.35">
      <c r="A3" s="282" t="s">
        <v>181</v>
      </c>
      <c r="B3" s="283">
        <v>0</v>
      </c>
      <c r="C3" s="283">
        <v>9544310.8699999992</v>
      </c>
      <c r="D3" s="283">
        <v>4392143.03</v>
      </c>
      <c r="E3" s="283">
        <v>1770808.46</v>
      </c>
      <c r="F3" s="283">
        <v>22222419.440000001</v>
      </c>
      <c r="G3" s="284">
        <f t="shared" ref="G3:G8" si="0">SUM(B3:F3)</f>
        <v>37929681.799999997</v>
      </c>
      <c r="H3" s="285">
        <v>8247854.2000000002</v>
      </c>
    </row>
    <row r="4" spans="1:8" x14ac:dyDescent="0.35">
      <c r="A4" s="282" t="s">
        <v>182</v>
      </c>
      <c r="B4" s="283">
        <v>193720</v>
      </c>
      <c r="C4" s="283">
        <v>6528242.9900000002</v>
      </c>
      <c r="D4" s="283">
        <v>8512334.4700000007</v>
      </c>
      <c r="E4" s="283">
        <v>4630162.1399999997</v>
      </c>
      <c r="F4" s="283">
        <v>22102313.41</v>
      </c>
      <c r="G4" s="284">
        <f t="shared" si="0"/>
        <v>41966773.010000005</v>
      </c>
      <c r="H4" s="285">
        <v>10618839.880000001</v>
      </c>
    </row>
    <row r="5" spans="1:8" x14ac:dyDescent="0.35">
      <c r="A5" s="282" t="s">
        <v>183</v>
      </c>
      <c r="B5" s="283">
        <v>2373824</v>
      </c>
      <c r="C5" s="283">
        <v>9978114.8100000005</v>
      </c>
      <c r="D5" s="283">
        <v>4660072.92</v>
      </c>
      <c r="E5" s="283">
        <v>5178892.91</v>
      </c>
      <c r="F5" s="283">
        <v>25229426.25</v>
      </c>
      <c r="G5" s="284">
        <f t="shared" si="0"/>
        <v>47420330.890000001</v>
      </c>
      <c r="H5" s="285">
        <v>15721939.34</v>
      </c>
    </row>
    <row r="6" spans="1:8" x14ac:dyDescent="0.35">
      <c r="A6" s="282" t="s">
        <v>184</v>
      </c>
      <c r="B6" s="283">
        <v>98600</v>
      </c>
      <c r="C6" s="283">
        <v>9397290.7300000004</v>
      </c>
      <c r="D6" s="283">
        <v>6112430.0099999998</v>
      </c>
      <c r="E6" s="283">
        <v>3592044.92</v>
      </c>
      <c r="F6" s="283">
        <v>26963667.41</v>
      </c>
      <c r="G6" s="284">
        <f t="shared" si="0"/>
        <v>46164033.07</v>
      </c>
      <c r="H6" s="285">
        <v>7609409.8399999999</v>
      </c>
    </row>
    <row r="7" spans="1:8" x14ac:dyDescent="0.35">
      <c r="A7" s="282" t="s">
        <v>185</v>
      </c>
      <c r="B7" s="283">
        <v>2281372</v>
      </c>
      <c r="C7" s="283">
        <v>13285514.449999999</v>
      </c>
      <c r="D7" s="283">
        <v>4599158.66</v>
      </c>
      <c r="E7" s="283">
        <v>4975679.3099999996</v>
      </c>
      <c r="F7" s="283">
        <v>8040007.8499999996</v>
      </c>
      <c r="G7" s="284">
        <f t="shared" si="0"/>
        <v>33181732.269999996</v>
      </c>
      <c r="H7" s="285">
        <v>13486072.630000001</v>
      </c>
    </row>
    <row r="8" spans="1:8" x14ac:dyDescent="0.35">
      <c r="A8" s="282" t="s">
        <v>186</v>
      </c>
      <c r="B8" s="283">
        <v>4251340.43</v>
      </c>
      <c r="C8" s="283">
        <v>8007003.4100000001</v>
      </c>
      <c r="D8" s="283">
        <v>3482571.61</v>
      </c>
      <c r="E8" s="283">
        <v>2319873.69</v>
      </c>
      <c r="F8" s="283">
        <v>10249647.390000001</v>
      </c>
      <c r="G8" s="284">
        <f t="shared" si="0"/>
        <v>28310436.530000001</v>
      </c>
      <c r="H8" s="285">
        <v>8851585.8800000008</v>
      </c>
    </row>
    <row r="9" spans="1:8" x14ac:dyDescent="0.35">
      <c r="A9" s="282" t="s">
        <v>187</v>
      </c>
      <c r="B9" s="283">
        <v>278401.02</v>
      </c>
      <c r="C9" s="283">
        <f>1659245.33+3712000</f>
        <v>5371245.3300000001</v>
      </c>
      <c r="D9" s="283">
        <v>6490025.3300000001</v>
      </c>
      <c r="E9" s="283">
        <v>2077429.68</v>
      </c>
      <c r="F9" s="283">
        <f>12044721.26-3712000</f>
        <v>8332721.2599999998</v>
      </c>
      <c r="G9" s="284">
        <f>SUM(B9:F9)</f>
        <v>22549822.619999997</v>
      </c>
      <c r="H9" s="285">
        <v>7244390.7999999998</v>
      </c>
    </row>
    <row r="10" spans="1:8" x14ac:dyDescent="0.35">
      <c r="A10" s="282" t="s">
        <v>188</v>
      </c>
      <c r="B10" s="283">
        <v>0</v>
      </c>
      <c r="C10" s="283">
        <v>16580307.550000001</v>
      </c>
      <c r="D10" s="283">
        <v>2487844.9300000002</v>
      </c>
      <c r="E10" s="283">
        <v>4253079.38</v>
      </c>
      <c r="F10" s="283">
        <v>8368521.1600000001</v>
      </c>
      <c r="G10" s="284">
        <f>SUM(B10:F10)</f>
        <v>31689753.02</v>
      </c>
      <c r="H10" s="285">
        <v>16018220.99</v>
      </c>
    </row>
    <row r="11" spans="1:8" x14ac:dyDescent="0.35">
      <c r="A11" s="282" t="s">
        <v>189</v>
      </c>
      <c r="B11" s="283">
        <v>1557184</v>
      </c>
      <c r="C11" s="283">
        <v>29598654.059999999</v>
      </c>
      <c r="D11" s="283">
        <v>11155700.23</v>
      </c>
      <c r="E11" s="283">
        <v>1825006.93</v>
      </c>
      <c r="F11" s="283">
        <v>10628717.710000001</v>
      </c>
      <c r="G11" s="284">
        <f>SUM(B11:F11)</f>
        <v>54765262.93</v>
      </c>
      <c r="H11" s="285">
        <v>28178406.379999999</v>
      </c>
    </row>
    <row r="12" spans="1:8" x14ac:dyDescent="0.35">
      <c r="A12" s="282" t="s">
        <v>190</v>
      </c>
      <c r="B12" s="283">
        <v>14822863.800000001</v>
      </c>
      <c r="C12" s="283">
        <v>19352851.190000001</v>
      </c>
      <c r="D12" s="283">
        <v>11025126.74</v>
      </c>
      <c r="E12" s="283">
        <v>6343498.2300000004</v>
      </c>
      <c r="F12" s="283">
        <v>11413342.74</v>
      </c>
      <c r="G12" s="284">
        <f>SUM(B12:F12)</f>
        <v>62957682.70000001</v>
      </c>
      <c r="H12" s="285">
        <v>18080762.170000002</v>
      </c>
    </row>
    <row r="13" spans="1:8" x14ac:dyDescent="0.35">
      <c r="A13" s="282" t="s">
        <v>191</v>
      </c>
      <c r="B13" s="283">
        <v>2133763.16</v>
      </c>
      <c r="C13" s="283">
        <v>9230278.8699999992</v>
      </c>
      <c r="D13" s="283">
        <v>3525937.54</v>
      </c>
      <c r="E13" s="283">
        <v>6369440.1900000004</v>
      </c>
      <c r="F13" s="283">
        <v>9081149.8200000003</v>
      </c>
      <c r="G13" s="284">
        <f>SUM(B13:F13)</f>
        <v>30340569.580000002</v>
      </c>
      <c r="H13" s="285">
        <v>56372.44</v>
      </c>
    </row>
    <row r="14" spans="1:8" ht="15.5" x14ac:dyDescent="0.35">
      <c r="A14" s="286" t="s">
        <v>192</v>
      </c>
      <c r="B14" s="287">
        <f t="shared" ref="B14:H14" si="1">AVERAGE(B3:B13)</f>
        <v>2544642.5827272725</v>
      </c>
      <c r="C14" s="287">
        <f t="shared" si="1"/>
        <v>12443074.023636363</v>
      </c>
      <c r="D14" s="287">
        <f t="shared" si="1"/>
        <v>6040304.1336363638</v>
      </c>
      <c r="E14" s="287">
        <f t="shared" si="1"/>
        <v>3939628.7127272724</v>
      </c>
      <c r="F14" s="287">
        <f t="shared" si="1"/>
        <v>14784721.312727273</v>
      </c>
      <c r="G14" s="287">
        <f t="shared" si="1"/>
        <v>39752370.765454546</v>
      </c>
      <c r="H14" s="287">
        <f t="shared" si="1"/>
        <v>12192168.595454546</v>
      </c>
    </row>
    <row r="15" spans="1:8" x14ac:dyDescent="0.3">
      <c r="A15" s="288"/>
      <c r="B15" s="289"/>
      <c r="C15" s="289"/>
      <c r="D15" s="289"/>
      <c r="E15" s="289"/>
      <c r="F15" s="289"/>
      <c r="G15" s="289"/>
      <c r="H15" s="290"/>
    </row>
  </sheetData>
  <mergeCells count="1">
    <mergeCell ref="A1:H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8:O33"/>
  <sheetViews>
    <sheetView showGridLines="0" workbookViewId="0">
      <pane xSplit="1" ySplit="10" topLeftCell="D26" activePane="bottomRight" state="frozen"/>
      <selection pane="topRight"/>
      <selection pane="bottomLeft"/>
      <selection pane="bottomRight" activeCell="F20" sqref="F20"/>
    </sheetView>
  </sheetViews>
  <sheetFormatPr defaultColWidth="10" defaultRowHeight="15.5" x14ac:dyDescent="0.35"/>
  <cols>
    <col min="1" max="1" width="49.7265625" style="1" customWidth="1"/>
    <col min="2" max="2" width="18.1796875" style="2" hidden="1" customWidth="1"/>
    <col min="3" max="8" width="12.453125" style="2" customWidth="1"/>
    <col min="9" max="13" width="12.453125" style="3" customWidth="1"/>
    <col min="14" max="14" width="13.7265625" style="3" customWidth="1"/>
    <col min="15" max="15" width="12.54296875" hidden="1" customWidth="1"/>
  </cols>
  <sheetData>
    <row r="8" spans="1:15" ht="21" customHeight="1" x14ac:dyDescent="0.5">
      <c r="A8" s="581" t="s">
        <v>132</v>
      </c>
      <c r="B8" s="582"/>
      <c r="C8" s="582"/>
      <c r="D8" s="582"/>
      <c r="E8" s="582"/>
      <c r="F8" s="582"/>
      <c r="G8" s="582"/>
      <c r="H8" s="582"/>
      <c r="I8" s="582"/>
      <c r="J8" s="582"/>
      <c r="K8" s="582"/>
      <c r="L8" s="582"/>
      <c r="M8" s="582"/>
      <c r="N8" s="583"/>
    </row>
    <row r="9" spans="1:15" s="1" customFormat="1" ht="21" customHeight="1" x14ac:dyDescent="0.45">
      <c r="A9" s="584" t="s">
        <v>172</v>
      </c>
      <c r="B9" s="585"/>
      <c r="C9" s="585"/>
      <c r="D9" s="585"/>
      <c r="E9" s="585"/>
      <c r="F9" s="585"/>
      <c r="G9" s="585"/>
      <c r="H9" s="585"/>
      <c r="I9" s="585"/>
      <c r="J9" s="585"/>
      <c r="K9" s="585"/>
      <c r="L9" s="585"/>
      <c r="M9" s="585"/>
      <c r="N9" s="586"/>
    </row>
    <row r="10" spans="1:15" s="4" customFormat="1" ht="21" customHeight="1" x14ac:dyDescent="0.35">
      <c r="A10" s="5"/>
      <c r="B10" s="5" t="s">
        <v>134</v>
      </c>
      <c r="C10" s="6" t="s">
        <v>135</v>
      </c>
      <c r="D10" s="6" t="s">
        <v>136</v>
      </c>
      <c r="E10" s="6" t="s">
        <v>137</v>
      </c>
      <c r="F10" s="6" t="s">
        <v>138</v>
      </c>
      <c r="G10" s="6" t="s">
        <v>117</v>
      </c>
      <c r="H10" s="6" t="s">
        <v>139</v>
      </c>
      <c r="I10" s="6" t="s">
        <v>140</v>
      </c>
      <c r="J10" s="6" t="s">
        <v>141</v>
      </c>
      <c r="K10" s="6" t="s">
        <v>142</v>
      </c>
      <c r="L10" s="6" t="s">
        <v>143</v>
      </c>
      <c r="M10" s="6" t="s">
        <v>144</v>
      </c>
      <c r="N10" s="6" t="s">
        <v>134</v>
      </c>
    </row>
    <row r="11" spans="1:15" ht="21" customHeight="1" x14ac:dyDescent="0.35">
      <c r="A11" s="291" t="s">
        <v>145</v>
      </c>
      <c r="B11" s="9">
        <v>9491688</v>
      </c>
      <c r="C11" s="9">
        <v>6019773.7400000002</v>
      </c>
      <c r="D11" s="9" t="e">
        <f t="shared" ref="D11:N11" si="0">+C28</f>
        <v>#REF!</v>
      </c>
      <c r="E11" s="9" t="e">
        <f t="shared" si="0"/>
        <v>#REF!</v>
      </c>
      <c r="F11" s="9" t="e">
        <f t="shared" si="0"/>
        <v>#REF!</v>
      </c>
      <c r="G11" s="9" t="e">
        <f t="shared" si="0"/>
        <v>#REF!</v>
      </c>
      <c r="H11" s="9" t="e">
        <f t="shared" si="0"/>
        <v>#REF!</v>
      </c>
      <c r="I11" s="9" t="e">
        <f t="shared" si="0"/>
        <v>#REF!</v>
      </c>
      <c r="J11" s="9" t="e">
        <f t="shared" si="0"/>
        <v>#REF!</v>
      </c>
      <c r="K11" s="9" t="e">
        <f t="shared" si="0"/>
        <v>#REF!</v>
      </c>
      <c r="L11" s="9" t="e">
        <f t="shared" si="0"/>
        <v>#REF!</v>
      </c>
      <c r="M11" s="9" t="e">
        <f t="shared" si="0"/>
        <v>#REF!</v>
      </c>
      <c r="N11" s="9" t="e">
        <f t="shared" si="0"/>
        <v>#REF!</v>
      </c>
    </row>
    <row r="12" spans="1:15" ht="21" customHeight="1" x14ac:dyDescent="0.45">
      <c r="A12" s="10" t="s">
        <v>203</v>
      </c>
      <c r="B12" s="11"/>
      <c r="C12" s="11"/>
      <c r="D12" s="11"/>
      <c r="E12" s="11"/>
      <c r="F12" s="11"/>
      <c r="G12" s="11"/>
      <c r="H12" s="11"/>
      <c r="I12" s="11"/>
      <c r="J12" s="11"/>
      <c r="K12" s="11"/>
      <c r="L12" s="11"/>
      <c r="M12" s="11"/>
      <c r="N12" s="11"/>
    </row>
    <row r="13" spans="1:15" ht="21" customHeight="1" x14ac:dyDescent="0.35">
      <c r="A13" s="292" t="s">
        <v>199</v>
      </c>
      <c r="B13" s="13">
        <v>9688182.3800000008</v>
      </c>
      <c r="C13" s="13" t="e">
        <f>+'Debtors and Creditors Movement'!K15</f>
        <v>#REF!</v>
      </c>
      <c r="D13" s="13" t="e">
        <f>+'Debtors and Creditors Movement'!L15</f>
        <v>#REF!</v>
      </c>
      <c r="E13" s="13" t="e">
        <f>+'Debtors and Creditors Movement'!M15</f>
        <v>#REF!</v>
      </c>
      <c r="F13" s="13" t="e">
        <f>+'Debtors and Creditors Movement'!N15</f>
        <v>#REF!</v>
      </c>
      <c r="G13" s="13" t="e">
        <f>+'Debtors and Creditors Movement'!O15</f>
        <v>#REF!</v>
      </c>
      <c r="H13" s="13" t="e">
        <f>+'Debtors and Creditors Movement'!P15</f>
        <v>#REF!</v>
      </c>
      <c r="I13" s="13" t="e">
        <f>+'Debtors and Creditors Movement'!Q15</f>
        <v>#REF!</v>
      </c>
      <c r="J13" s="13" t="e">
        <f>+'Debtors and Creditors Movement'!R15</f>
        <v>#REF!</v>
      </c>
      <c r="K13" s="13" t="e">
        <f>+'Debtors and Creditors Movement'!S15</f>
        <v>#REF!</v>
      </c>
      <c r="L13" s="13" t="e">
        <f>+'Debtors and Creditors Movement'!T15</f>
        <v>#REF!</v>
      </c>
      <c r="M13" s="13" t="e">
        <f>+'Debtors and Creditors Movement'!U15</f>
        <v>#REF!</v>
      </c>
      <c r="N13" s="13" t="e">
        <f>+'Debtors and Creditors Movement'!V15</f>
        <v>#REF!</v>
      </c>
      <c r="O13" s="14" t="e">
        <f>SUM(C13:N13)</f>
        <v>#REF!</v>
      </c>
    </row>
    <row r="14" spans="1:15" ht="21" customHeight="1" x14ac:dyDescent="0.35">
      <c r="A14" s="293" t="s">
        <v>200</v>
      </c>
      <c r="B14" s="16"/>
      <c r="C14" s="16"/>
      <c r="D14" s="16"/>
      <c r="E14" s="16"/>
      <c r="F14" s="16"/>
      <c r="G14" s="16"/>
      <c r="H14" s="16"/>
      <c r="I14" s="16"/>
      <c r="J14" s="16"/>
      <c r="K14" s="16"/>
      <c r="L14" s="16"/>
      <c r="M14" s="16"/>
      <c r="N14" s="16"/>
    </row>
    <row r="15" spans="1:15" s="17" customFormat="1" ht="21" customHeight="1" x14ac:dyDescent="0.35">
      <c r="A15" s="294" t="s">
        <v>150</v>
      </c>
      <c r="B15" s="20">
        <f t="shared" ref="B15:N15" si="1">SUM(B13:B14)</f>
        <v>9688182.3800000008</v>
      </c>
      <c r="C15" s="19" t="e">
        <f t="shared" si="1"/>
        <v>#REF!</v>
      </c>
      <c r="D15" s="20" t="e">
        <f t="shared" si="1"/>
        <v>#REF!</v>
      </c>
      <c r="E15" s="20" t="e">
        <f t="shared" si="1"/>
        <v>#REF!</v>
      </c>
      <c r="F15" s="20" t="e">
        <f t="shared" si="1"/>
        <v>#REF!</v>
      </c>
      <c r="G15" s="20" t="e">
        <f t="shared" si="1"/>
        <v>#REF!</v>
      </c>
      <c r="H15" s="20" t="e">
        <f t="shared" si="1"/>
        <v>#REF!</v>
      </c>
      <c r="I15" s="20" t="e">
        <f t="shared" si="1"/>
        <v>#REF!</v>
      </c>
      <c r="J15" s="20" t="e">
        <f t="shared" si="1"/>
        <v>#REF!</v>
      </c>
      <c r="K15" s="20" t="e">
        <f t="shared" si="1"/>
        <v>#REF!</v>
      </c>
      <c r="L15" s="20" t="e">
        <f t="shared" si="1"/>
        <v>#REF!</v>
      </c>
      <c r="M15" s="20" t="e">
        <f t="shared" si="1"/>
        <v>#REF!</v>
      </c>
      <c r="N15" s="20" t="e">
        <f t="shared" si="1"/>
        <v>#REF!</v>
      </c>
    </row>
    <row r="16" spans="1:15" s="17" customFormat="1" ht="21" customHeight="1" x14ac:dyDescent="0.35">
      <c r="A16" s="291"/>
      <c r="B16" s="21"/>
      <c r="C16" s="21"/>
      <c r="D16" s="21"/>
      <c r="E16" s="21"/>
      <c r="F16" s="21"/>
      <c r="G16" s="21"/>
      <c r="H16" s="21"/>
      <c r="I16" s="21"/>
      <c r="J16" s="21"/>
      <c r="K16" s="21"/>
      <c r="L16" s="21"/>
      <c r="M16" s="21"/>
      <c r="N16" s="21"/>
    </row>
    <row r="17" spans="1:15" s="22" customFormat="1" ht="21" customHeight="1" x14ac:dyDescent="0.45">
      <c r="A17" s="10" t="s">
        <v>201</v>
      </c>
      <c r="B17" s="23"/>
      <c r="C17" s="23"/>
      <c r="D17" s="23"/>
      <c r="E17" s="23"/>
      <c r="F17" s="23"/>
      <c r="G17" s="23"/>
      <c r="H17" s="23"/>
      <c r="I17" s="24"/>
      <c r="J17" s="24"/>
      <c r="K17" s="24"/>
      <c r="L17" s="24"/>
      <c r="M17" s="24"/>
      <c r="N17" s="24"/>
    </row>
    <row r="18" spans="1:15" ht="21" customHeight="1" x14ac:dyDescent="0.35">
      <c r="A18" s="292" t="s">
        <v>279</v>
      </c>
      <c r="B18" s="25">
        <f>+'Debtors and Creditors Movement'!K32-10000000</f>
        <v>-6631029.2051314954</v>
      </c>
      <c r="C18" s="25">
        <f>+'Debtors and Creditors Movement'!K32</f>
        <v>3368970.7948685051</v>
      </c>
      <c r="D18" s="25">
        <f>+'Debtors and Creditors Movement'!L32</f>
        <v>7105289.2783692526</v>
      </c>
      <c r="E18" s="25">
        <f>+'Debtors and Creditors Movement'!M32</f>
        <v>4790691.6114965957</v>
      </c>
      <c r="F18" s="25">
        <f>+'Debtors and Creditors Movement'!N32</f>
        <v>6386547.5204117578</v>
      </c>
      <c r="G18" s="25" t="e">
        <f>+'Debtors and Creditors Movement'!O32</f>
        <v>#REF!</v>
      </c>
      <c r="H18" s="25" t="e">
        <f>+'Debtors and Creditors Movement'!P32</f>
        <v>#REF!</v>
      </c>
      <c r="I18" s="25" t="e">
        <f>+'Debtors and Creditors Movement'!Q32</f>
        <v>#REF!</v>
      </c>
      <c r="J18" s="25" t="e">
        <f>+'Debtors and Creditors Movement'!R32</f>
        <v>#REF!</v>
      </c>
      <c r="K18" s="25" t="e">
        <f>+'Debtors and Creditors Movement'!S32</f>
        <v>#REF!</v>
      </c>
      <c r="L18" s="25" t="e">
        <f>+'Debtors and Creditors Movement'!T32</f>
        <v>#REF!</v>
      </c>
      <c r="M18" s="25" t="e">
        <f>+'Debtors and Creditors Movement'!U32</f>
        <v>#REF!</v>
      </c>
      <c r="N18" s="25" t="e">
        <f>+'Debtors and Creditors Movement'!V32</f>
        <v>#REF!</v>
      </c>
      <c r="O18" s="14" t="e">
        <f>SUM(C18:N18)</f>
        <v>#REF!</v>
      </c>
    </row>
    <row r="19" spans="1:15" s="17" customFormat="1" ht="21" customHeight="1" x14ac:dyDescent="0.35">
      <c r="A19" s="292" t="s">
        <v>202</v>
      </c>
      <c r="B19" s="26"/>
      <c r="C19" s="26"/>
      <c r="D19" s="26"/>
      <c r="E19" s="26"/>
      <c r="F19" s="26"/>
      <c r="G19" s="26"/>
      <c r="H19" s="26"/>
      <c r="I19" s="26"/>
      <c r="J19" s="26"/>
      <c r="K19" s="26"/>
      <c r="L19" s="26"/>
      <c r="M19" s="26"/>
      <c r="N19" s="26"/>
    </row>
    <row r="20" spans="1:15" ht="21" customHeight="1" x14ac:dyDescent="0.35">
      <c r="A20" s="292" t="s">
        <v>204</v>
      </c>
      <c r="B20" s="25">
        <f>+'MEIL 2012 Budget (Orig)'!B57</f>
        <v>0</v>
      </c>
      <c r="C20" s="25">
        <f>+'MEIL 2012 Budget (Orig)'!B55</f>
        <v>8215000</v>
      </c>
      <c r="D20" s="25">
        <f>+'MEIL 2012 Budget (Orig)'!C55</f>
        <v>8215000</v>
      </c>
      <c r="E20" s="25">
        <f>+'MEIL 2012 Budget (Orig)'!D55</f>
        <v>8215000</v>
      </c>
      <c r="F20" s="25">
        <f>+'MEIL 2012 Budget (Orig)'!E55</f>
        <v>8540000</v>
      </c>
      <c r="G20" s="25">
        <f>+'MEIL 2012 Budget (Orig)'!F55</f>
        <v>8540000</v>
      </c>
      <c r="H20" s="25">
        <f>+'MEIL 2012 Budget (Orig)'!G55</f>
        <v>8540000</v>
      </c>
      <c r="I20" s="25">
        <f>+'MEIL 2012 Budget (Orig)'!H55</f>
        <v>8540000</v>
      </c>
      <c r="J20" s="25">
        <f>+'MEIL 2012 Budget (Orig)'!I55</f>
        <v>8540000</v>
      </c>
      <c r="K20" s="25">
        <f>+'MEIL 2012 Budget (Orig)'!J55</f>
        <v>8840000</v>
      </c>
      <c r="L20" s="25">
        <f>+'MEIL 2012 Budget (Orig)'!K55</f>
        <v>8840000</v>
      </c>
      <c r="M20" s="25">
        <f>+'MEIL 2012 Budget (Orig)'!L55</f>
        <v>8840000</v>
      </c>
      <c r="N20" s="25">
        <f>+'MEIL 2012 Budget (Orig)'!M55</f>
        <v>8840000</v>
      </c>
      <c r="O20" s="14">
        <f>SUM(C20:N20)</f>
        <v>102705000</v>
      </c>
    </row>
    <row r="21" spans="1:15" s="27" customFormat="1" ht="21" customHeight="1" x14ac:dyDescent="0.35">
      <c r="A21" s="295" t="s">
        <v>169</v>
      </c>
      <c r="B21" s="296"/>
      <c r="C21" s="28">
        <f t="shared" ref="C21:N21" si="2">+B21</f>
        <v>0</v>
      </c>
      <c r="D21" s="28">
        <f t="shared" si="2"/>
        <v>0</v>
      </c>
      <c r="E21" s="28">
        <f t="shared" si="2"/>
        <v>0</v>
      </c>
      <c r="F21" s="28">
        <f t="shared" si="2"/>
        <v>0</v>
      </c>
      <c r="G21" s="28">
        <f t="shared" si="2"/>
        <v>0</v>
      </c>
      <c r="H21" s="28">
        <f t="shared" si="2"/>
        <v>0</v>
      </c>
      <c r="I21" s="16">
        <f t="shared" si="2"/>
        <v>0</v>
      </c>
      <c r="J21" s="16">
        <f t="shared" si="2"/>
        <v>0</v>
      </c>
      <c r="K21" s="16">
        <f t="shared" si="2"/>
        <v>0</v>
      </c>
      <c r="L21" s="16">
        <f t="shared" si="2"/>
        <v>0</v>
      </c>
      <c r="M21" s="16">
        <f t="shared" si="2"/>
        <v>0</v>
      </c>
      <c r="N21" s="16">
        <f t="shared" si="2"/>
        <v>0</v>
      </c>
    </row>
    <row r="22" spans="1:15" s="27" customFormat="1" ht="21" customHeight="1" x14ac:dyDescent="0.35">
      <c r="A22" s="15" t="s">
        <v>205</v>
      </c>
      <c r="B22" s="296">
        <v>1235601</v>
      </c>
      <c r="C22" s="28">
        <v>371541</v>
      </c>
      <c r="D22" s="28" t="e">
        <f>+'Debtors and Creditors Movement'!K6*0.16-'Debtors and Creditors Movement'!K21*0.16</f>
        <v>#REF!</v>
      </c>
      <c r="E22" s="28" t="e">
        <f>+'Debtors and Creditors Movement'!L6*0.16-'Debtors and Creditors Movement'!L21*0.16</f>
        <v>#REF!</v>
      </c>
      <c r="F22" s="28" t="e">
        <f>+'Debtors and Creditors Movement'!M6*0.16-'Debtors and Creditors Movement'!M21*0.16</f>
        <v>#REF!</v>
      </c>
      <c r="G22" s="28" t="e">
        <f>+'Debtors and Creditors Movement'!N6*0.16-'Debtors and Creditors Movement'!N21*0.16</f>
        <v>#REF!</v>
      </c>
      <c r="H22" s="28" t="e">
        <f>+'Debtors and Creditors Movement'!O6*0.16-'Debtors and Creditors Movement'!O21*0.16</f>
        <v>#REF!</v>
      </c>
      <c r="I22" s="28" t="e">
        <f>+'Debtors and Creditors Movement'!P6*0.16-'Debtors and Creditors Movement'!P21*0.16</f>
        <v>#REF!</v>
      </c>
      <c r="J22" s="28" t="e">
        <f>+'Debtors and Creditors Movement'!Q6*0.16-'Debtors and Creditors Movement'!Q21*0.16</f>
        <v>#REF!</v>
      </c>
      <c r="K22" s="28" t="e">
        <f>+'Debtors and Creditors Movement'!R6*0.16-'Debtors and Creditors Movement'!R21*0.16</f>
        <v>#REF!</v>
      </c>
      <c r="L22" s="28" t="e">
        <f>+'Debtors and Creditors Movement'!S6*0.16-'Debtors and Creditors Movement'!S21*0.16</f>
        <v>#REF!</v>
      </c>
      <c r="M22" s="28" t="e">
        <f>+'Debtors and Creditors Movement'!T6*0.16-'Debtors and Creditors Movement'!T21*0.16</f>
        <v>#REF!</v>
      </c>
      <c r="N22" s="28" t="e">
        <f>+'Debtors and Creditors Movement'!U6*0.16-'Debtors and Creditors Movement'!U21*0.16</f>
        <v>#REF!</v>
      </c>
    </row>
    <row r="23" spans="1:15" s="27" customFormat="1" ht="21" customHeight="1" x14ac:dyDescent="0.35">
      <c r="A23" s="15" t="s">
        <v>155</v>
      </c>
      <c r="B23" s="296">
        <v>273000</v>
      </c>
      <c r="C23" s="28"/>
      <c r="D23" s="28"/>
      <c r="E23" s="28"/>
      <c r="F23" s="28">
        <v>360000</v>
      </c>
      <c r="G23" s="28"/>
      <c r="H23" s="28">
        <v>360000</v>
      </c>
      <c r="I23" s="16"/>
      <c r="J23" s="16"/>
      <c r="K23" s="16">
        <v>360000</v>
      </c>
      <c r="L23" s="16"/>
      <c r="M23" s="16"/>
      <c r="N23" s="16">
        <v>360000</v>
      </c>
    </row>
    <row r="24" spans="1:15" s="27" customFormat="1" ht="21" customHeight="1" x14ac:dyDescent="0.35">
      <c r="A24" s="15" t="s">
        <v>156</v>
      </c>
      <c r="B24" s="296"/>
      <c r="C24" s="28">
        <v>220000</v>
      </c>
      <c r="D24" s="28">
        <f>+'CapEx Chase Bank'!D52</f>
        <v>2333000</v>
      </c>
      <c r="E24" s="28">
        <f>+'CapEx Chase Bank'!E52</f>
        <v>240000</v>
      </c>
      <c r="F24" s="28">
        <f>+'CapEx Chase Bank'!F52</f>
        <v>3000000</v>
      </c>
      <c r="G24" s="28">
        <f>+'CapEx Chase Bank'!G52</f>
        <v>310000</v>
      </c>
      <c r="H24" s="28">
        <f>+'CapEx Chase Bank'!H52</f>
        <v>919000</v>
      </c>
      <c r="I24" s="28">
        <f>+'CapEx Chase Bank'!I52</f>
        <v>1000000</v>
      </c>
      <c r="J24" s="28">
        <f>+'CapEx Chase Bank'!J52</f>
        <v>938000</v>
      </c>
      <c r="K24" s="28">
        <f>+'CapEx Chase Bank'!K52</f>
        <v>0</v>
      </c>
      <c r="L24" s="28">
        <f>+'CapEx Chase Bank'!L52</f>
        <v>319000</v>
      </c>
      <c r="M24" s="28">
        <f>+'CapEx Chase Bank'!M52</f>
        <v>0</v>
      </c>
      <c r="N24" s="28">
        <f>+'CapEx Chase Bank'!N52</f>
        <v>0</v>
      </c>
    </row>
    <row r="25" spans="1:15" ht="21" customHeight="1" x14ac:dyDescent="0.35">
      <c r="A25" s="31" t="s">
        <v>157</v>
      </c>
      <c r="B25" s="297"/>
      <c r="C25" s="32"/>
      <c r="D25" s="32"/>
      <c r="E25" s="32"/>
      <c r="F25" s="32"/>
      <c r="G25" s="32"/>
      <c r="H25" s="32"/>
      <c r="I25" s="16"/>
      <c r="J25" s="16"/>
      <c r="K25" s="16"/>
      <c r="L25" s="16"/>
      <c r="M25" s="16"/>
      <c r="N25" s="16"/>
    </row>
    <row r="26" spans="1:15" s="17" customFormat="1" ht="21" customHeight="1" x14ac:dyDescent="0.35">
      <c r="A26" s="298" t="s">
        <v>158</v>
      </c>
      <c r="B26" s="34">
        <f>SUM(B18:B25)</f>
        <v>-5122428.2051314954</v>
      </c>
      <c r="C26" s="33">
        <f t="shared" ref="C26:N26" si="3">SUM(C18:C25)</f>
        <v>12175511.794868505</v>
      </c>
      <c r="D26" s="34" t="e">
        <f t="shared" si="3"/>
        <v>#REF!</v>
      </c>
      <c r="E26" s="34" t="e">
        <f t="shared" si="3"/>
        <v>#REF!</v>
      </c>
      <c r="F26" s="34" t="e">
        <f t="shared" si="3"/>
        <v>#REF!</v>
      </c>
      <c r="G26" s="34" t="e">
        <f t="shared" si="3"/>
        <v>#REF!</v>
      </c>
      <c r="H26" s="34" t="e">
        <f t="shared" si="3"/>
        <v>#REF!</v>
      </c>
      <c r="I26" s="34" t="e">
        <f t="shared" si="3"/>
        <v>#REF!</v>
      </c>
      <c r="J26" s="34" t="e">
        <f t="shared" si="3"/>
        <v>#REF!</v>
      </c>
      <c r="K26" s="34" t="e">
        <f t="shared" si="3"/>
        <v>#REF!</v>
      </c>
      <c r="L26" s="34" t="e">
        <f t="shared" si="3"/>
        <v>#REF!</v>
      </c>
      <c r="M26" s="34" t="e">
        <f t="shared" si="3"/>
        <v>#REF!</v>
      </c>
      <c r="N26" s="34" t="e">
        <f t="shared" si="3"/>
        <v>#REF!</v>
      </c>
      <c r="O26" s="14" t="e">
        <f>SUM(C26:N26)</f>
        <v>#REF!</v>
      </c>
    </row>
    <row r="27" spans="1:15" s="17" customFormat="1" ht="21" customHeight="1" x14ac:dyDescent="0.35">
      <c r="A27" s="298" t="s">
        <v>280</v>
      </c>
      <c r="B27" s="36">
        <f>+B15-B26</f>
        <v>14810610.585131496</v>
      </c>
      <c r="C27" s="35" t="e">
        <f t="shared" ref="C27:N27" si="4">+C15-C26</f>
        <v>#REF!</v>
      </c>
      <c r="D27" s="36" t="e">
        <f t="shared" si="4"/>
        <v>#REF!</v>
      </c>
      <c r="E27" s="36" t="e">
        <f t="shared" si="4"/>
        <v>#REF!</v>
      </c>
      <c r="F27" s="36" t="e">
        <f t="shared" si="4"/>
        <v>#REF!</v>
      </c>
      <c r="G27" s="36" t="e">
        <f t="shared" si="4"/>
        <v>#REF!</v>
      </c>
      <c r="H27" s="36" t="e">
        <f t="shared" si="4"/>
        <v>#REF!</v>
      </c>
      <c r="I27" s="36" t="e">
        <f t="shared" si="4"/>
        <v>#REF!</v>
      </c>
      <c r="J27" s="36" t="e">
        <f t="shared" si="4"/>
        <v>#REF!</v>
      </c>
      <c r="K27" s="36" t="e">
        <f t="shared" si="4"/>
        <v>#REF!</v>
      </c>
      <c r="L27" s="36" t="e">
        <f t="shared" si="4"/>
        <v>#REF!</v>
      </c>
      <c r="M27" s="36" t="e">
        <f t="shared" si="4"/>
        <v>#REF!</v>
      </c>
      <c r="N27" s="36" t="e">
        <f t="shared" si="4"/>
        <v>#REF!</v>
      </c>
    </row>
    <row r="28" spans="1:15" ht="21" customHeight="1" x14ac:dyDescent="0.35">
      <c r="A28" s="37" t="s">
        <v>160</v>
      </c>
      <c r="B28" s="39">
        <f>+B11+B27</f>
        <v>24302298.585131496</v>
      </c>
      <c r="C28" s="38" t="e">
        <f t="shared" ref="C28:N28" si="5">+C11+C27</f>
        <v>#REF!</v>
      </c>
      <c r="D28" s="39" t="e">
        <f t="shared" si="5"/>
        <v>#REF!</v>
      </c>
      <c r="E28" s="39" t="e">
        <f t="shared" si="5"/>
        <v>#REF!</v>
      </c>
      <c r="F28" s="39" t="e">
        <f t="shared" si="5"/>
        <v>#REF!</v>
      </c>
      <c r="G28" s="39" t="e">
        <f t="shared" si="5"/>
        <v>#REF!</v>
      </c>
      <c r="H28" s="39" t="e">
        <f t="shared" si="5"/>
        <v>#REF!</v>
      </c>
      <c r="I28" s="39" t="e">
        <f t="shared" si="5"/>
        <v>#REF!</v>
      </c>
      <c r="J28" s="39" t="e">
        <f t="shared" si="5"/>
        <v>#REF!</v>
      </c>
      <c r="K28" s="39" t="e">
        <f t="shared" si="5"/>
        <v>#REF!</v>
      </c>
      <c r="L28" s="39" t="e">
        <f t="shared" si="5"/>
        <v>#REF!</v>
      </c>
      <c r="M28" s="39" t="e">
        <f t="shared" si="5"/>
        <v>#REF!</v>
      </c>
      <c r="N28" s="39" t="e">
        <f t="shared" si="5"/>
        <v>#REF!</v>
      </c>
    </row>
    <row r="29" spans="1:15" s="3" customFormat="1" ht="21" customHeight="1" x14ac:dyDescent="0.35">
      <c r="A29" s="40" t="s">
        <v>281</v>
      </c>
      <c r="N29" s="41"/>
    </row>
    <row r="30" spans="1:15" s="3" customFormat="1" ht="21" customHeight="1" x14ac:dyDescent="0.35">
      <c r="A30" s="40" t="s">
        <v>206</v>
      </c>
    </row>
    <row r="31" spans="1:15" ht="21" customHeight="1" x14ac:dyDescent="0.35"/>
    <row r="32" spans="1:15" s="46" customFormat="1" x14ac:dyDescent="0.35">
      <c r="A32" s="1"/>
      <c r="B32" s="2"/>
      <c r="C32" s="2"/>
      <c r="D32" s="2"/>
      <c r="E32" s="2"/>
      <c r="F32" s="2"/>
      <c r="G32" s="2"/>
      <c r="H32" s="2"/>
      <c r="I32" s="3"/>
      <c r="J32" s="3"/>
      <c r="K32" s="3"/>
      <c r="L32" s="3"/>
      <c r="M32" s="3"/>
      <c r="N32" s="3"/>
    </row>
    <row r="33" spans="1:14" s="46" customFormat="1" x14ac:dyDescent="0.35">
      <c r="A33" s="1"/>
      <c r="B33" s="2"/>
      <c r="C33" s="2"/>
      <c r="D33" s="2"/>
      <c r="E33" s="2"/>
      <c r="F33" s="2"/>
      <c r="G33" s="2"/>
      <c r="H33" s="2"/>
      <c r="I33" s="3"/>
      <c r="J33" s="3"/>
      <c r="K33" s="3"/>
      <c r="L33" s="3"/>
      <c r="M33" s="3"/>
      <c r="N33" s="3"/>
    </row>
  </sheetData>
  <mergeCells count="2">
    <mergeCell ref="A8:N8"/>
    <mergeCell ref="A9:N9"/>
  </mergeCells>
  <printOptions horizontalCentered="1"/>
  <pageMargins left="0.12" right="0.59" top="0.34" bottom="0.43" header="0.3" footer="0.65"/>
  <pageSetup paperSize="9" scale="69" orientation="landscape"/>
  <headerFooter>
    <oddFooter>&amp;LMEIL CashFlow Projection 2012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57"/>
  <sheetViews>
    <sheetView showGridLines="0" zoomScale="75" workbookViewId="0">
      <pane ySplit="3" topLeftCell="A34" activePane="bottomLeft" state="frozen"/>
      <selection pane="bottomLeft" activeCell="G9" sqref="G9"/>
    </sheetView>
  </sheetViews>
  <sheetFormatPr defaultColWidth="9.1796875" defaultRowHeight="18.5" x14ac:dyDescent="0.45"/>
  <cols>
    <col min="1" max="1" width="43.54296875" style="299" customWidth="1"/>
    <col min="2" max="2" width="72.26953125" style="299" customWidth="1"/>
    <col min="3" max="4" width="15.453125" style="299" customWidth="1"/>
    <col min="5" max="14" width="15.81640625" style="299" customWidth="1"/>
    <col min="15" max="15" width="19.81640625" style="299" customWidth="1"/>
    <col min="16" max="16" width="11.1796875" style="299" bestFit="1" customWidth="1"/>
    <col min="17" max="16384" width="9.1796875" style="299"/>
  </cols>
  <sheetData>
    <row r="1" spans="1:15" s="300" customFormat="1" ht="18" customHeight="1" x14ac:dyDescent="0.35">
      <c r="A1" s="599" t="s">
        <v>86</v>
      </c>
      <c r="B1" s="600"/>
      <c r="C1" s="600"/>
      <c r="D1" s="600"/>
      <c r="E1" s="600"/>
      <c r="F1" s="600"/>
      <c r="G1" s="600"/>
      <c r="H1" s="600"/>
      <c r="I1" s="600"/>
      <c r="J1" s="600"/>
      <c r="K1" s="600"/>
      <c r="L1" s="600"/>
      <c r="M1" s="600"/>
      <c r="N1" s="600"/>
      <c r="O1" s="601"/>
    </row>
    <row r="2" spans="1:15" s="300" customFormat="1" ht="18" customHeight="1" x14ac:dyDescent="0.35">
      <c r="A2" s="599" t="s">
        <v>207</v>
      </c>
      <c r="B2" s="600"/>
      <c r="C2" s="600"/>
      <c r="D2" s="600"/>
      <c r="E2" s="600"/>
      <c r="F2" s="600"/>
      <c r="G2" s="600"/>
      <c r="H2" s="600"/>
      <c r="I2" s="600"/>
      <c r="J2" s="600"/>
      <c r="K2" s="600"/>
      <c r="L2" s="600"/>
      <c r="M2" s="600"/>
      <c r="N2" s="600"/>
      <c r="O2" s="601"/>
    </row>
    <row r="3" spans="1:15" s="300" customFormat="1" ht="18" customHeight="1" x14ac:dyDescent="0.35">
      <c r="A3" s="301" t="s">
        <v>208</v>
      </c>
      <c r="B3" s="302" t="s">
        <v>209</v>
      </c>
      <c r="C3" s="302">
        <v>40544</v>
      </c>
      <c r="D3" s="303">
        <v>40575</v>
      </c>
      <c r="E3" s="303">
        <v>40603</v>
      </c>
      <c r="F3" s="303">
        <v>40634</v>
      </c>
      <c r="G3" s="303">
        <v>40664</v>
      </c>
      <c r="H3" s="303">
        <v>40695</v>
      </c>
      <c r="I3" s="303">
        <v>40725</v>
      </c>
      <c r="J3" s="303">
        <v>40756</v>
      </c>
      <c r="K3" s="303">
        <v>40787</v>
      </c>
      <c r="L3" s="303">
        <v>40817</v>
      </c>
      <c r="M3" s="303">
        <v>40848</v>
      </c>
      <c r="N3" s="303">
        <v>40878</v>
      </c>
      <c r="O3" s="304" t="s">
        <v>0</v>
      </c>
    </row>
    <row r="4" spans="1:15" s="300" customFormat="1" ht="18" customHeight="1" x14ac:dyDescent="0.35">
      <c r="A4" s="305" t="s">
        <v>9</v>
      </c>
      <c r="B4" s="306"/>
      <c r="C4" s="306"/>
      <c r="D4" s="306"/>
      <c r="E4" s="306"/>
      <c r="F4" s="306"/>
      <c r="G4" s="306"/>
      <c r="H4" s="306"/>
      <c r="I4" s="306"/>
      <c r="J4" s="306"/>
      <c r="K4" s="306"/>
      <c r="L4" s="306"/>
      <c r="M4" s="306"/>
      <c r="N4" s="306"/>
      <c r="O4" s="307"/>
    </row>
    <row r="5" spans="1:15" ht="19" x14ac:dyDescent="0.45">
      <c r="A5" s="308" t="s">
        <v>210</v>
      </c>
      <c r="B5" s="309" t="s">
        <v>211</v>
      </c>
      <c r="C5" s="310"/>
      <c r="D5" s="310"/>
      <c r="E5" s="310"/>
      <c r="F5" s="310"/>
      <c r="G5" s="310"/>
      <c r="H5" s="310"/>
      <c r="I5" s="310"/>
      <c r="J5" s="310"/>
      <c r="K5" s="310"/>
      <c r="L5" s="310"/>
      <c r="M5" s="310"/>
      <c r="N5" s="310"/>
      <c r="O5" s="311">
        <f>SUM(C5:N5)</f>
        <v>0</v>
      </c>
    </row>
    <row r="6" spans="1:15" ht="47.25" customHeight="1" x14ac:dyDescent="0.45">
      <c r="A6" s="308" t="s">
        <v>212</v>
      </c>
      <c r="B6" s="312" t="s">
        <v>213</v>
      </c>
      <c r="C6" s="310"/>
      <c r="D6" s="310"/>
      <c r="E6" s="310"/>
      <c r="F6" s="310"/>
      <c r="G6" s="310"/>
      <c r="H6" s="310"/>
      <c r="I6" s="310"/>
      <c r="J6" s="310"/>
      <c r="K6" s="310"/>
      <c r="L6" s="310"/>
      <c r="M6" s="310"/>
      <c r="N6" s="310"/>
      <c r="O6" s="311">
        <f t="shared" ref="O6:O15" si="0">SUM(C6:N6)</f>
        <v>0</v>
      </c>
    </row>
    <row r="7" spans="1:15" ht="47.25" customHeight="1" x14ac:dyDescent="0.45">
      <c r="A7" s="308" t="s">
        <v>214</v>
      </c>
      <c r="B7" s="312" t="s">
        <v>215</v>
      </c>
      <c r="C7" s="310"/>
      <c r="D7" s="310">
        <v>250000</v>
      </c>
      <c r="E7" s="310"/>
      <c r="F7" s="310"/>
      <c r="G7" s="310"/>
      <c r="H7" s="310"/>
      <c r="I7" s="310"/>
      <c r="J7" s="310"/>
      <c r="K7" s="310"/>
      <c r="L7" s="310"/>
      <c r="M7" s="310"/>
      <c r="N7" s="310"/>
      <c r="O7" s="311">
        <f t="shared" si="0"/>
        <v>250000</v>
      </c>
    </row>
    <row r="8" spans="1:15" ht="36" x14ac:dyDescent="0.45">
      <c r="A8" s="308" t="s">
        <v>216</v>
      </c>
      <c r="B8" s="309" t="s">
        <v>217</v>
      </c>
      <c r="C8" s="310"/>
      <c r="D8" s="310"/>
      <c r="E8" s="310"/>
      <c r="F8" s="310"/>
      <c r="G8" s="310"/>
      <c r="H8" s="310"/>
      <c r="I8" s="310"/>
      <c r="J8" s="310"/>
      <c r="K8" s="310"/>
      <c r="L8" s="310"/>
      <c r="M8" s="310"/>
      <c r="N8" s="310"/>
      <c r="O8" s="311">
        <f t="shared" si="0"/>
        <v>0</v>
      </c>
    </row>
    <row r="9" spans="1:15" ht="36" x14ac:dyDescent="0.45">
      <c r="A9" s="308" t="s">
        <v>218</v>
      </c>
      <c r="B9" s="309" t="s">
        <v>219</v>
      </c>
      <c r="C9" s="310"/>
      <c r="D9" s="310"/>
      <c r="E9" s="310"/>
      <c r="F9" s="300"/>
      <c r="G9" s="310">
        <v>210000</v>
      </c>
      <c r="H9" s="310"/>
      <c r="I9" s="310"/>
      <c r="J9" s="310"/>
      <c r="K9" s="310"/>
      <c r="L9" s="310"/>
      <c r="M9" s="310"/>
      <c r="N9" s="310"/>
      <c r="O9" s="311">
        <f t="shared" si="0"/>
        <v>210000</v>
      </c>
    </row>
    <row r="10" spans="1:15" ht="19" x14ac:dyDescent="0.45">
      <c r="A10" s="308" t="s">
        <v>220</v>
      </c>
      <c r="B10" s="309" t="s">
        <v>221</v>
      </c>
      <c r="C10" s="310"/>
      <c r="D10" s="310"/>
      <c r="E10" s="310"/>
      <c r="F10" s="310"/>
      <c r="G10" s="310"/>
      <c r="H10" s="310"/>
      <c r="I10" s="310"/>
      <c r="J10" s="310">
        <v>150000</v>
      </c>
      <c r="K10" s="310"/>
      <c r="L10" s="310"/>
      <c r="M10" s="310"/>
      <c r="N10" s="310"/>
      <c r="O10" s="311">
        <f t="shared" si="0"/>
        <v>150000</v>
      </c>
    </row>
    <row r="11" spans="1:15" ht="19" x14ac:dyDescent="0.45">
      <c r="A11" s="308" t="s">
        <v>222</v>
      </c>
      <c r="B11" s="309" t="s">
        <v>223</v>
      </c>
      <c r="C11" s="310"/>
      <c r="D11" s="310"/>
      <c r="E11" s="310"/>
      <c r="F11" s="310"/>
      <c r="G11" s="310"/>
      <c r="H11" s="310"/>
      <c r="I11" s="310"/>
      <c r="J11" s="310"/>
      <c r="K11" s="310"/>
      <c r="L11" s="310"/>
      <c r="M11" s="310"/>
      <c r="N11" s="310"/>
      <c r="O11" s="311">
        <f t="shared" si="0"/>
        <v>0</v>
      </c>
    </row>
    <row r="12" spans="1:15" ht="19" x14ac:dyDescent="0.45">
      <c r="A12" s="308" t="s">
        <v>224</v>
      </c>
      <c r="B12" s="309" t="s">
        <v>225</v>
      </c>
      <c r="C12" s="310"/>
      <c r="D12" s="310"/>
      <c r="E12" s="310"/>
      <c r="F12" s="310"/>
      <c r="G12" s="310"/>
      <c r="H12" s="310"/>
      <c r="I12" s="310"/>
      <c r="J12" s="310"/>
      <c r="K12" s="310"/>
      <c r="L12" s="310"/>
      <c r="M12" s="310"/>
      <c r="N12" s="310"/>
      <c r="O12" s="311">
        <f t="shared" si="0"/>
        <v>0</v>
      </c>
    </row>
    <row r="13" spans="1:15" ht="19" x14ac:dyDescent="0.45">
      <c r="A13" s="308" t="s">
        <v>226</v>
      </c>
      <c r="B13" s="309" t="s">
        <v>227</v>
      </c>
      <c r="C13" s="310"/>
      <c r="D13" s="310"/>
      <c r="E13" s="310"/>
      <c r="F13" s="310"/>
      <c r="G13" s="310"/>
      <c r="H13" s="310"/>
      <c r="I13" s="310"/>
      <c r="J13" s="310"/>
      <c r="K13" s="310"/>
      <c r="L13" s="310"/>
      <c r="M13" s="310"/>
      <c r="N13" s="310"/>
      <c r="O13" s="311">
        <f t="shared" si="0"/>
        <v>0</v>
      </c>
    </row>
    <row r="14" spans="1:15" ht="19" x14ac:dyDescent="0.45">
      <c r="A14" s="308" t="s">
        <v>228</v>
      </c>
      <c r="B14" s="309" t="s">
        <v>221</v>
      </c>
      <c r="C14" s="310"/>
      <c r="D14" s="310"/>
      <c r="E14" s="310"/>
      <c r="F14" s="310"/>
      <c r="G14" s="310"/>
      <c r="H14" s="310"/>
      <c r="I14" s="310"/>
      <c r="J14" s="310">
        <v>250000</v>
      </c>
      <c r="K14" s="300"/>
      <c r="L14" s="310"/>
      <c r="M14" s="310"/>
      <c r="N14" s="310"/>
      <c r="O14" s="311">
        <f t="shared" si="0"/>
        <v>250000</v>
      </c>
    </row>
    <row r="15" spans="1:15" ht="19" x14ac:dyDescent="0.45">
      <c r="A15" s="308" t="s">
        <v>229</v>
      </c>
      <c r="B15" s="309" t="s">
        <v>230</v>
      </c>
      <c r="C15" s="300"/>
      <c r="D15" s="310">
        <v>38000</v>
      </c>
      <c r="E15" s="310"/>
      <c r="F15" s="310"/>
      <c r="G15" s="310"/>
      <c r="H15" s="310"/>
      <c r="I15" s="310"/>
      <c r="J15" s="310">
        <v>38000</v>
      </c>
      <c r="K15" s="310"/>
      <c r="L15" s="310"/>
      <c r="M15" s="310"/>
      <c r="N15" s="310"/>
      <c r="O15" s="311">
        <f t="shared" si="0"/>
        <v>76000</v>
      </c>
    </row>
    <row r="16" spans="1:15" x14ac:dyDescent="0.45">
      <c r="A16" s="313" t="s">
        <v>231</v>
      </c>
      <c r="B16" s="314"/>
      <c r="C16" s="315">
        <f t="shared" ref="C16:O16" si="1">SUM(C4:C15)</f>
        <v>0</v>
      </c>
      <c r="D16" s="315">
        <f t="shared" si="1"/>
        <v>288000</v>
      </c>
      <c r="E16" s="315">
        <f t="shared" si="1"/>
        <v>0</v>
      </c>
      <c r="F16" s="315">
        <f t="shared" si="1"/>
        <v>0</v>
      </c>
      <c r="G16" s="315">
        <f t="shared" si="1"/>
        <v>210000</v>
      </c>
      <c r="H16" s="315">
        <f t="shared" si="1"/>
        <v>0</v>
      </c>
      <c r="I16" s="315">
        <f t="shared" si="1"/>
        <v>0</v>
      </c>
      <c r="J16" s="315">
        <f t="shared" si="1"/>
        <v>438000</v>
      </c>
      <c r="K16" s="315">
        <f t="shared" si="1"/>
        <v>0</v>
      </c>
      <c r="L16" s="315">
        <f t="shared" si="1"/>
        <v>0</v>
      </c>
      <c r="M16" s="315">
        <f t="shared" si="1"/>
        <v>0</v>
      </c>
      <c r="N16" s="315">
        <f t="shared" si="1"/>
        <v>0</v>
      </c>
      <c r="O16" s="316">
        <f t="shared" si="1"/>
        <v>936000</v>
      </c>
    </row>
    <row r="17" spans="1:15" s="300" customFormat="1" ht="18" customHeight="1" x14ac:dyDescent="0.45">
      <c r="A17" s="317"/>
      <c r="B17" s="318"/>
      <c r="C17" s="319"/>
      <c r="D17" s="319"/>
      <c r="E17" s="319"/>
      <c r="F17" s="319"/>
      <c r="G17" s="319"/>
      <c r="H17" s="319"/>
      <c r="I17" s="319"/>
      <c r="J17" s="319"/>
      <c r="K17" s="319"/>
      <c r="L17" s="319"/>
      <c r="M17" s="319"/>
      <c r="N17" s="319"/>
      <c r="O17" s="320"/>
    </row>
    <row r="18" spans="1:15" s="300" customFormat="1" ht="18" customHeight="1" x14ac:dyDescent="0.35">
      <c r="A18" s="321" t="s">
        <v>232</v>
      </c>
      <c r="B18" s="322"/>
      <c r="C18" s="322"/>
      <c r="D18" s="322"/>
      <c r="E18" s="322"/>
      <c r="F18" s="322"/>
      <c r="G18" s="322"/>
      <c r="H18" s="322"/>
      <c r="I18" s="322"/>
      <c r="J18" s="322"/>
      <c r="K18" s="322"/>
      <c r="L18" s="322"/>
      <c r="M18" s="322"/>
      <c r="N18" s="322"/>
      <c r="O18" s="323"/>
    </row>
    <row r="19" spans="1:15" s="300" customFormat="1" ht="18" customHeight="1" x14ac:dyDescent="0.35">
      <c r="A19" s="308" t="s">
        <v>233</v>
      </c>
      <c r="B19" s="310" t="s">
        <v>234</v>
      </c>
      <c r="C19" s="310"/>
      <c r="D19" s="310"/>
      <c r="E19" s="310"/>
      <c r="F19" s="310"/>
      <c r="G19" s="310"/>
      <c r="H19" s="310"/>
      <c r="I19" s="310"/>
      <c r="J19" s="310"/>
      <c r="K19" s="310"/>
      <c r="L19" s="310"/>
      <c r="M19" s="310"/>
      <c r="N19" s="310"/>
      <c r="O19" s="311">
        <f>SUM(C19:N19)</f>
        <v>0</v>
      </c>
    </row>
    <row r="20" spans="1:15" s="300" customFormat="1" ht="18" customHeight="1" x14ac:dyDescent="0.35">
      <c r="A20" s="308" t="s">
        <v>235</v>
      </c>
      <c r="B20" s="310" t="s">
        <v>236</v>
      </c>
      <c r="C20" s="310"/>
      <c r="D20" s="310"/>
      <c r="E20" s="310"/>
      <c r="F20" s="310"/>
      <c r="G20" s="310"/>
      <c r="H20" s="310"/>
      <c r="I20" s="310"/>
      <c r="J20" s="310"/>
      <c r="K20" s="310"/>
      <c r="L20" s="310"/>
      <c r="M20" s="310"/>
      <c r="N20" s="310"/>
      <c r="O20" s="311">
        <f t="shared" ref="O20:O25" si="2">SUM(C20:N20)</f>
        <v>0</v>
      </c>
    </row>
    <row r="21" spans="1:15" s="300" customFormat="1" ht="18" customHeight="1" x14ac:dyDescent="0.35">
      <c r="A21" s="308" t="s">
        <v>237</v>
      </c>
      <c r="B21" s="310" t="s">
        <v>238</v>
      </c>
      <c r="C21" s="310"/>
      <c r="D21" s="310"/>
      <c r="E21" s="310"/>
      <c r="F21" s="310">
        <v>300000</v>
      </c>
      <c r="G21" s="310">
        <v>300000</v>
      </c>
      <c r="H21" s="310"/>
      <c r="I21" s="310"/>
      <c r="J21" s="310"/>
      <c r="K21" s="310"/>
      <c r="L21" s="310"/>
      <c r="M21" s="310"/>
      <c r="N21" s="310"/>
      <c r="O21" s="311">
        <f t="shared" si="2"/>
        <v>600000</v>
      </c>
    </row>
    <row r="22" spans="1:15" s="300" customFormat="1" ht="18" customHeight="1" x14ac:dyDescent="0.35">
      <c r="A22" s="308" t="s">
        <v>239</v>
      </c>
      <c r="B22" s="310" t="s">
        <v>240</v>
      </c>
      <c r="C22" s="310"/>
      <c r="D22" s="310"/>
      <c r="E22" s="310"/>
      <c r="F22" s="310"/>
      <c r="G22" s="310"/>
      <c r="H22" s="310"/>
      <c r="I22" s="310"/>
      <c r="J22" s="310"/>
      <c r="K22" s="310"/>
      <c r="L22" s="310"/>
      <c r="M22" s="310"/>
      <c r="N22" s="310"/>
      <c r="O22" s="311">
        <f t="shared" si="2"/>
        <v>0</v>
      </c>
    </row>
    <row r="23" spans="1:15" s="300" customFormat="1" ht="41.25" customHeight="1" x14ac:dyDescent="0.35">
      <c r="A23" s="308" t="s">
        <v>241</v>
      </c>
      <c r="B23" s="312" t="s">
        <v>242</v>
      </c>
      <c r="C23" s="310"/>
      <c r="D23" s="310"/>
      <c r="E23" s="310"/>
      <c r="F23" s="310"/>
      <c r="G23" s="310"/>
      <c r="H23" s="310"/>
      <c r="I23" s="310"/>
      <c r="J23" s="310"/>
      <c r="K23" s="310"/>
      <c r="L23" s="310"/>
      <c r="M23" s="310"/>
      <c r="N23" s="310"/>
      <c r="O23" s="311">
        <f t="shared" si="2"/>
        <v>0</v>
      </c>
    </row>
    <row r="24" spans="1:15" s="300" customFormat="1" ht="41.25" customHeight="1" x14ac:dyDescent="0.35">
      <c r="A24" s="308" t="s">
        <v>243</v>
      </c>
      <c r="B24" s="312" t="s">
        <v>244</v>
      </c>
      <c r="C24" s="310"/>
      <c r="D24" s="310">
        <v>300000</v>
      </c>
      <c r="E24" s="310"/>
      <c r="F24" s="310"/>
      <c r="G24" s="310"/>
      <c r="H24" s="310"/>
      <c r="I24" s="310">
        <v>300000</v>
      </c>
      <c r="J24" s="310"/>
      <c r="K24" s="310"/>
      <c r="L24" s="310"/>
      <c r="M24" s="310"/>
      <c r="N24" s="310"/>
      <c r="O24" s="311">
        <f t="shared" si="2"/>
        <v>600000</v>
      </c>
    </row>
    <row r="25" spans="1:15" s="300" customFormat="1" ht="18" customHeight="1" x14ac:dyDescent="0.35">
      <c r="A25" s="308" t="s">
        <v>245</v>
      </c>
      <c r="B25" s="310" t="s">
        <v>246</v>
      </c>
      <c r="C25" s="310"/>
      <c r="D25" s="310">
        <v>175000</v>
      </c>
      <c r="E25" s="310"/>
      <c r="F25" s="310"/>
      <c r="G25" s="310"/>
      <c r="H25" s="310"/>
      <c r="I25" s="310"/>
      <c r="J25" s="310"/>
      <c r="K25" s="310"/>
      <c r="L25" s="310"/>
      <c r="M25" s="310"/>
      <c r="N25" s="310"/>
      <c r="O25" s="311">
        <f t="shared" si="2"/>
        <v>175000</v>
      </c>
    </row>
    <row r="26" spans="1:15" s="300" customFormat="1" ht="18" customHeight="1" x14ac:dyDescent="0.35">
      <c r="A26" s="308" t="s">
        <v>247</v>
      </c>
      <c r="B26" s="310" t="s">
        <v>248</v>
      </c>
      <c r="C26" s="310"/>
      <c r="D26" s="310"/>
      <c r="E26" s="310">
        <v>150000</v>
      </c>
      <c r="F26" s="310"/>
      <c r="G26" s="310"/>
      <c r="H26" s="310"/>
      <c r="I26" s="310"/>
      <c r="J26" s="310"/>
      <c r="K26" s="310"/>
      <c r="L26" s="310"/>
      <c r="M26" s="310"/>
      <c r="N26" s="310"/>
      <c r="O26" s="311">
        <f>SUM(C26:N26)</f>
        <v>150000</v>
      </c>
    </row>
    <row r="27" spans="1:15" s="300" customFormat="1" ht="18" customHeight="1" x14ac:dyDescent="0.35">
      <c r="A27" s="324" t="s">
        <v>249</v>
      </c>
      <c r="B27" s="325"/>
      <c r="C27" s="315">
        <f>SUM(C18:C26)</f>
        <v>0</v>
      </c>
      <c r="D27" s="315">
        <f t="shared" ref="D27:O27" si="3">SUM(D18:D26)</f>
        <v>475000</v>
      </c>
      <c r="E27" s="315">
        <f t="shared" si="3"/>
        <v>150000</v>
      </c>
      <c r="F27" s="315">
        <f t="shared" si="3"/>
        <v>300000</v>
      </c>
      <c r="G27" s="315">
        <f t="shared" si="3"/>
        <v>300000</v>
      </c>
      <c r="H27" s="315">
        <f t="shared" si="3"/>
        <v>0</v>
      </c>
      <c r="I27" s="315">
        <f t="shared" si="3"/>
        <v>300000</v>
      </c>
      <c r="J27" s="315">
        <f t="shared" si="3"/>
        <v>0</v>
      </c>
      <c r="K27" s="315">
        <f t="shared" si="3"/>
        <v>0</v>
      </c>
      <c r="L27" s="315">
        <f t="shared" si="3"/>
        <v>0</v>
      </c>
      <c r="M27" s="315">
        <f t="shared" si="3"/>
        <v>0</v>
      </c>
      <c r="N27" s="315">
        <f t="shared" si="3"/>
        <v>0</v>
      </c>
      <c r="O27" s="316">
        <f t="shared" si="3"/>
        <v>1525000</v>
      </c>
    </row>
    <row r="28" spans="1:15" s="300" customFormat="1" ht="18" customHeight="1" x14ac:dyDescent="0.35">
      <c r="A28" s="317"/>
      <c r="B28" s="326"/>
      <c r="C28" s="319"/>
      <c r="D28" s="319"/>
      <c r="E28" s="319"/>
      <c r="F28" s="319"/>
      <c r="G28" s="319"/>
      <c r="H28" s="319"/>
      <c r="I28" s="319"/>
      <c r="J28" s="319"/>
      <c r="K28" s="319"/>
      <c r="L28" s="319"/>
      <c r="M28" s="319"/>
      <c r="N28" s="319"/>
      <c r="O28" s="320"/>
    </row>
    <row r="29" spans="1:15" s="300" customFormat="1" ht="35.25" customHeight="1" x14ac:dyDescent="0.35">
      <c r="A29" s="321" t="s">
        <v>99</v>
      </c>
      <c r="B29" s="327"/>
      <c r="C29" s="328"/>
      <c r="D29" s="328"/>
      <c r="E29" s="328"/>
      <c r="F29" s="328"/>
      <c r="G29" s="328"/>
      <c r="H29" s="328"/>
      <c r="I29" s="328"/>
      <c r="J29" s="328"/>
      <c r="K29" s="328"/>
      <c r="L29" s="328"/>
      <c r="M29" s="328"/>
      <c r="N29" s="328"/>
      <c r="O29" s="329"/>
    </row>
    <row r="30" spans="1:15" s="300" customFormat="1" ht="18" customHeight="1" x14ac:dyDescent="0.35">
      <c r="A30" s="308" t="s">
        <v>250</v>
      </c>
      <c r="B30" s="310" t="s">
        <v>251</v>
      </c>
      <c r="C30" s="330"/>
      <c r="D30" s="310">
        <v>70000</v>
      </c>
      <c r="E30" s="330"/>
      <c r="F30" s="310"/>
      <c r="G30" s="330"/>
      <c r="H30" s="330"/>
      <c r="I30" s="330"/>
      <c r="J30" s="330"/>
      <c r="K30" s="330"/>
      <c r="L30" s="330"/>
      <c r="M30" s="330"/>
      <c r="N30" s="330"/>
      <c r="O30" s="311">
        <f>SUM(C30:N30)</f>
        <v>70000</v>
      </c>
    </row>
    <row r="31" spans="1:15" s="300" customFormat="1" ht="18" customHeight="1" x14ac:dyDescent="0.35">
      <c r="A31" s="308"/>
      <c r="B31" s="310"/>
      <c r="C31" s="330"/>
      <c r="D31" s="330"/>
      <c r="E31" s="330"/>
      <c r="F31" s="310"/>
      <c r="G31" s="310"/>
      <c r="H31" s="310"/>
      <c r="I31" s="330"/>
      <c r="J31" s="330"/>
      <c r="K31" s="330"/>
      <c r="L31" s="330"/>
      <c r="M31" s="330"/>
      <c r="N31" s="330"/>
      <c r="O31" s="311">
        <f>SUM(C31:N31)</f>
        <v>0</v>
      </c>
    </row>
    <row r="32" spans="1:15" s="300" customFormat="1" ht="18" customHeight="1" x14ac:dyDescent="0.35">
      <c r="A32" s="313" t="s">
        <v>252</v>
      </c>
      <c r="B32" s="325"/>
      <c r="C32" s="315">
        <f>SUM(C29:C31)</f>
        <v>0</v>
      </c>
      <c r="D32" s="315">
        <f t="shared" ref="D32:O32" si="4">SUM(D29:D31)</f>
        <v>70000</v>
      </c>
      <c r="E32" s="315">
        <f t="shared" si="4"/>
        <v>0</v>
      </c>
      <c r="F32" s="315">
        <f t="shared" si="4"/>
        <v>0</v>
      </c>
      <c r="G32" s="315">
        <f t="shared" si="4"/>
        <v>0</v>
      </c>
      <c r="H32" s="315">
        <f t="shared" si="4"/>
        <v>0</v>
      </c>
      <c r="I32" s="315">
        <f t="shared" si="4"/>
        <v>0</v>
      </c>
      <c r="J32" s="315">
        <f t="shared" si="4"/>
        <v>0</v>
      </c>
      <c r="K32" s="315">
        <f t="shared" si="4"/>
        <v>0</v>
      </c>
      <c r="L32" s="315">
        <f t="shared" si="4"/>
        <v>0</v>
      </c>
      <c r="M32" s="315">
        <f t="shared" si="4"/>
        <v>0</v>
      </c>
      <c r="N32" s="315">
        <f t="shared" si="4"/>
        <v>0</v>
      </c>
      <c r="O32" s="316">
        <f t="shared" si="4"/>
        <v>70000</v>
      </c>
    </row>
    <row r="33" spans="1:15" s="300" customFormat="1" ht="18" customHeight="1" x14ac:dyDescent="0.35">
      <c r="A33" s="317"/>
      <c r="B33" s="326"/>
      <c r="C33" s="319"/>
      <c r="D33" s="319"/>
      <c r="E33" s="319"/>
      <c r="F33" s="319"/>
      <c r="G33" s="319"/>
      <c r="H33" s="319"/>
      <c r="I33" s="319"/>
      <c r="J33" s="319"/>
      <c r="K33" s="319"/>
      <c r="L33" s="319"/>
      <c r="M33" s="319"/>
      <c r="N33" s="319"/>
      <c r="O33" s="320"/>
    </row>
    <row r="34" spans="1:15" s="300" customFormat="1" ht="18" customHeight="1" x14ac:dyDescent="0.35">
      <c r="A34" s="321" t="s">
        <v>6</v>
      </c>
      <c r="B34" s="322"/>
      <c r="C34" s="322"/>
      <c r="D34" s="322"/>
      <c r="E34" s="322"/>
      <c r="F34" s="322"/>
      <c r="G34" s="322"/>
      <c r="H34" s="322"/>
      <c r="I34" s="322"/>
      <c r="J34" s="322"/>
      <c r="K34" s="322"/>
      <c r="L34" s="322"/>
      <c r="M34" s="322"/>
      <c r="N34" s="322"/>
      <c r="O34" s="323"/>
    </row>
    <row r="35" spans="1:15" s="300" customFormat="1" ht="18" customHeight="1" x14ac:dyDescent="0.35">
      <c r="A35" s="331" t="s">
        <v>253</v>
      </c>
      <c r="B35" s="310" t="s">
        <v>251</v>
      </c>
      <c r="C35" s="310"/>
      <c r="D35" s="310">
        <v>90000</v>
      </c>
      <c r="E35" s="310"/>
      <c r="F35" s="310"/>
      <c r="G35" s="310"/>
      <c r="H35" s="310"/>
      <c r="I35" s="310"/>
      <c r="J35" s="310"/>
      <c r="K35" s="310"/>
      <c r="L35" s="310"/>
      <c r="M35" s="310"/>
      <c r="N35" s="310"/>
      <c r="O35" s="311">
        <f>SUM(C35:N35)</f>
        <v>90000</v>
      </c>
    </row>
    <row r="36" spans="1:15" s="300" customFormat="1" ht="18" customHeight="1" x14ac:dyDescent="0.35">
      <c r="A36" s="331" t="s">
        <v>254</v>
      </c>
      <c r="B36" s="310"/>
      <c r="C36" s="310"/>
      <c r="D36" s="310">
        <v>90000</v>
      </c>
      <c r="E36" s="310"/>
      <c r="F36" s="310"/>
      <c r="G36" s="310"/>
      <c r="H36" s="310"/>
      <c r="I36" s="310"/>
      <c r="J36" s="310"/>
      <c r="K36" s="310"/>
      <c r="L36" s="310"/>
      <c r="M36" s="310"/>
      <c r="N36" s="310"/>
      <c r="O36" s="311">
        <f>SUM(C36:N36)</f>
        <v>90000</v>
      </c>
    </row>
    <row r="37" spans="1:15" s="300" customFormat="1" ht="18" customHeight="1" x14ac:dyDescent="0.35">
      <c r="A37" s="331" t="s">
        <v>255</v>
      </c>
      <c r="B37" s="310" t="s">
        <v>256</v>
      </c>
      <c r="C37" s="310"/>
      <c r="D37" s="310"/>
      <c r="E37" s="310"/>
      <c r="F37" s="310">
        <v>319000</v>
      </c>
      <c r="G37" s="310"/>
      <c r="H37" s="310"/>
      <c r="I37" s="310">
        <v>319000</v>
      </c>
      <c r="J37" s="310"/>
      <c r="K37" s="310"/>
      <c r="L37" s="310">
        <v>319000</v>
      </c>
      <c r="M37" s="310"/>
      <c r="N37" s="310"/>
      <c r="O37" s="311">
        <f>SUM(C37:N37)</f>
        <v>957000</v>
      </c>
    </row>
    <row r="38" spans="1:15" s="300" customFormat="1" ht="39.75" customHeight="1" x14ac:dyDescent="0.35">
      <c r="A38" s="308" t="s">
        <v>257</v>
      </c>
      <c r="B38" s="310" t="s">
        <v>258</v>
      </c>
      <c r="C38" s="310"/>
      <c r="D38" s="310"/>
      <c r="E38" s="310"/>
      <c r="F38" s="310"/>
      <c r="G38" s="310"/>
      <c r="H38" s="310"/>
      <c r="I38" s="310"/>
      <c r="J38" s="310"/>
      <c r="K38" s="310"/>
      <c r="L38" s="310"/>
      <c r="M38" s="310"/>
      <c r="N38" s="310"/>
      <c r="O38" s="311">
        <f>SUM(C38:N38)</f>
        <v>0</v>
      </c>
    </row>
    <row r="39" spans="1:15" s="300" customFormat="1" ht="18" customHeight="1" x14ac:dyDescent="0.35">
      <c r="A39" s="313" t="s">
        <v>259</v>
      </c>
      <c r="B39" s="325"/>
      <c r="C39" s="315">
        <f t="shared" ref="C39:O39" si="5">SUM(C34:C38)</f>
        <v>0</v>
      </c>
      <c r="D39" s="315">
        <f t="shared" si="5"/>
        <v>180000</v>
      </c>
      <c r="E39" s="315">
        <f t="shared" si="5"/>
        <v>0</v>
      </c>
      <c r="F39" s="315">
        <f t="shared" si="5"/>
        <v>319000</v>
      </c>
      <c r="G39" s="315">
        <f t="shared" si="5"/>
        <v>0</v>
      </c>
      <c r="H39" s="315">
        <f t="shared" si="5"/>
        <v>0</v>
      </c>
      <c r="I39" s="315">
        <f t="shared" si="5"/>
        <v>319000</v>
      </c>
      <c r="J39" s="315">
        <f t="shared" si="5"/>
        <v>0</v>
      </c>
      <c r="K39" s="315">
        <f t="shared" si="5"/>
        <v>0</v>
      </c>
      <c r="L39" s="315">
        <f t="shared" si="5"/>
        <v>319000</v>
      </c>
      <c r="M39" s="315">
        <f t="shared" si="5"/>
        <v>0</v>
      </c>
      <c r="N39" s="315">
        <f t="shared" si="5"/>
        <v>0</v>
      </c>
      <c r="O39" s="316">
        <f t="shared" si="5"/>
        <v>1137000</v>
      </c>
    </row>
    <row r="40" spans="1:15" s="300" customFormat="1" ht="18" customHeight="1" x14ac:dyDescent="0.35">
      <c r="A40" s="317"/>
      <c r="B40" s="326"/>
      <c r="C40" s="319"/>
      <c r="D40" s="319"/>
      <c r="E40" s="319"/>
      <c r="F40" s="319"/>
      <c r="G40" s="319"/>
      <c r="H40" s="319"/>
      <c r="I40" s="319"/>
      <c r="J40" s="319"/>
      <c r="K40" s="319"/>
      <c r="L40" s="319"/>
      <c r="M40" s="319"/>
      <c r="N40" s="319"/>
      <c r="O40" s="320"/>
    </row>
    <row r="41" spans="1:15" s="300" customFormat="1" ht="18" customHeight="1" x14ac:dyDescent="0.35">
      <c r="A41" s="321" t="s">
        <v>260</v>
      </c>
      <c r="B41" s="322"/>
      <c r="C41" s="322"/>
      <c r="D41" s="322"/>
      <c r="E41" s="322"/>
      <c r="F41" s="322"/>
      <c r="G41" s="322"/>
      <c r="H41" s="322"/>
      <c r="I41" s="322"/>
      <c r="J41" s="322"/>
      <c r="K41" s="322"/>
      <c r="L41" s="322"/>
      <c r="M41" s="322"/>
      <c r="N41" s="322"/>
      <c r="O41" s="323">
        <f t="shared" ref="O41:O49" si="6">SUM(C41:N41)</f>
        <v>0</v>
      </c>
    </row>
    <row r="42" spans="1:15" s="300" customFormat="1" ht="18" customHeight="1" x14ac:dyDescent="0.35">
      <c r="A42" s="331" t="s">
        <v>261</v>
      </c>
      <c r="B42" s="310" t="s">
        <v>262</v>
      </c>
      <c r="C42" s="310"/>
      <c r="D42" s="310"/>
      <c r="E42" s="310"/>
      <c r="F42" s="310">
        <v>3500000</v>
      </c>
      <c r="G42" s="310"/>
      <c r="H42" s="310"/>
      <c r="I42" s="310"/>
      <c r="J42" s="310"/>
      <c r="K42" s="310"/>
      <c r="L42" s="310"/>
      <c r="M42" s="310"/>
      <c r="N42" s="310"/>
      <c r="O42" s="311">
        <f t="shared" si="6"/>
        <v>3500000</v>
      </c>
    </row>
    <row r="43" spans="1:15" s="300" customFormat="1" ht="18" customHeight="1" x14ac:dyDescent="0.35">
      <c r="A43" s="331" t="s">
        <v>278</v>
      </c>
      <c r="B43" s="310" t="s">
        <v>263</v>
      </c>
      <c r="C43" s="310"/>
      <c r="D43" s="332">
        <v>200000</v>
      </c>
      <c r="E43" s="310"/>
      <c r="F43" s="310"/>
      <c r="G43" s="310">
        <v>100000</v>
      </c>
      <c r="H43" s="310"/>
      <c r="I43" s="310"/>
      <c r="J43" s="310"/>
      <c r="K43" s="310"/>
      <c r="L43" s="310"/>
      <c r="M43" s="310"/>
      <c r="N43" s="310"/>
      <c r="O43" s="311">
        <f t="shared" si="6"/>
        <v>300000</v>
      </c>
    </row>
    <row r="44" spans="1:15" s="300" customFormat="1" ht="18" customHeight="1" x14ac:dyDescent="0.35">
      <c r="A44" s="331" t="s">
        <v>261</v>
      </c>
      <c r="B44" s="310" t="s">
        <v>264</v>
      </c>
      <c r="C44" s="310"/>
      <c r="D44" s="310"/>
      <c r="E44" s="310"/>
      <c r="F44" s="310">
        <v>2500000</v>
      </c>
      <c r="G44" s="310"/>
      <c r="H44" s="310"/>
      <c r="I44" s="310"/>
      <c r="J44" s="310"/>
      <c r="K44" s="310"/>
      <c r="L44" s="310"/>
      <c r="M44" s="310"/>
      <c r="N44" s="310"/>
      <c r="O44" s="311">
        <f t="shared" si="6"/>
        <v>2500000</v>
      </c>
    </row>
    <row r="45" spans="1:15" s="300" customFormat="1" ht="18" customHeight="1" x14ac:dyDescent="0.35">
      <c r="A45" s="331" t="s">
        <v>265</v>
      </c>
      <c r="B45" s="310" t="s">
        <v>282</v>
      </c>
      <c r="C45" s="310"/>
      <c r="D45" s="310"/>
      <c r="E45" s="310">
        <f>90000</f>
        <v>90000</v>
      </c>
      <c r="F45" s="310"/>
      <c r="G45" s="310"/>
      <c r="H45" s="310">
        <v>180000</v>
      </c>
      <c r="I45" s="310"/>
      <c r="J45" s="310"/>
      <c r="K45" s="310"/>
      <c r="L45" s="310"/>
      <c r="M45" s="310"/>
      <c r="N45" s="310"/>
      <c r="O45" s="311">
        <f t="shared" si="6"/>
        <v>270000</v>
      </c>
    </row>
    <row r="46" spans="1:15" s="300" customFormat="1" ht="18" customHeight="1" x14ac:dyDescent="0.35">
      <c r="A46" s="331" t="s">
        <v>266</v>
      </c>
      <c r="B46" s="310" t="s">
        <v>267</v>
      </c>
      <c r="C46" s="310"/>
      <c r="D46" s="310">
        <v>500000</v>
      </c>
      <c r="E46" s="310"/>
      <c r="F46" s="310"/>
      <c r="G46" s="310"/>
      <c r="H46" s="310"/>
      <c r="I46" s="310"/>
      <c r="J46" s="310"/>
      <c r="K46" s="310"/>
      <c r="L46" s="310"/>
      <c r="M46" s="310"/>
      <c r="N46" s="310"/>
      <c r="O46" s="311">
        <f t="shared" si="6"/>
        <v>500000</v>
      </c>
    </row>
    <row r="47" spans="1:15" s="300" customFormat="1" ht="18" customHeight="1" x14ac:dyDescent="0.35">
      <c r="A47" s="331" t="s">
        <v>268</v>
      </c>
      <c r="B47" s="310" t="s">
        <v>269</v>
      </c>
      <c r="C47" s="310"/>
      <c r="D47" s="310">
        <v>80000</v>
      </c>
      <c r="E47" s="310"/>
      <c r="F47" s="310"/>
      <c r="G47" s="310"/>
      <c r="H47" s="310"/>
      <c r="I47" s="310"/>
      <c r="J47" s="310"/>
      <c r="K47" s="310"/>
      <c r="L47" s="310"/>
      <c r="M47" s="310"/>
      <c r="N47" s="310"/>
      <c r="O47" s="311">
        <f t="shared" si="6"/>
        <v>80000</v>
      </c>
    </row>
    <row r="48" spans="1:15" s="300" customFormat="1" ht="41.25" customHeight="1" x14ac:dyDescent="0.35">
      <c r="A48" s="331" t="s">
        <v>270</v>
      </c>
      <c r="B48" s="312" t="s">
        <v>271</v>
      </c>
      <c r="C48" s="310"/>
      <c r="D48" s="310"/>
      <c r="E48" s="310"/>
      <c r="F48" s="310"/>
      <c r="G48" s="310"/>
      <c r="H48" s="310"/>
      <c r="I48" s="310"/>
      <c r="J48" s="310"/>
      <c r="K48" s="310"/>
      <c r="L48" s="310"/>
      <c r="M48" s="310"/>
      <c r="N48" s="310"/>
      <c r="O48" s="311">
        <f t="shared" si="6"/>
        <v>0</v>
      </c>
    </row>
    <row r="49" spans="1:15" s="300" customFormat="1" ht="21.75" customHeight="1" x14ac:dyDescent="0.35">
      <c r="A49" s="308" t="s">
        <v>272</v>
      </c>
      <c r="B49" s="310" t="s">
        <v>251</v>
      </c>
      <c r="C49" s="310"/>
      <c r="D49" s="310"/>
      <c r="E49" s="310"/>
      <c r="F49" s="310"/>
      <c r="G49" s="310"/>
      <c r="H49" s="310"/>
      <c r="I49" s="310"/>
      <c r="J49" s="310">
        <v>500000</v>
      </c>
      <c r="K49" s="310"/>
      <c r="L49" s="310"/>
      <c r="M49" s="310"/>
      <c r="N49" s="310"/>
      <c r="O49" s="311">
        <f t="shared" si="6"/>
        <v>500000</v>
      </c>
    </row>
    <row r="50" spans="1:15" s="300" customFormat="1" ht="18" customHeight="1" x14ac:dyDescent="0.35">
      <c r="A50" s="313" t="s">
        <v>259</v>
      </c>
      <c r="B50" s="325"/>
      <c r="C50" s="315">
        <f>SUM(C41:C49)</f>
        <v>0</v>
      </c>
      <c r="D50" s="315">
        <f t="shared" ref="D50:O50" si="7">SUM(D41:D49)</f>
        <v>780000</v>
      </c>
      <c r="E50" s="315">
        <f t="shared" si="7"/>
        <v>90000</v>
      </c>
      <c r="F50" s="315">
        <f t="shared" si="7"/>
        <v>6000000</v>
      </c>
      <c r="G50" s="315">
        <f t="shared" si="7"/>
        <v>100000</v>
      </c>
      <c r="H50" s="315">
        <f t="shared" si="7"/>
        <v>180000</v>
      </c>
      <c r="I50" s="315">
        <f t="shared" si="7"/>
        <v>0</v>
      </c>
      <c r="J50" s="315">
        <f t="shared" si="7"/>
        <v>500000</v>
      </c>
      <c r="K50" s="315">
        <f t="shared" si="7"/>
        <v>0</v>
      </c>
      <c r="L50" s="315">
        <f t="shared" si="7"/>
        <v>0</v>
      </c>
      <c r="M50" s="315">
        <f t="shared" si="7"/>
        <v>0</v>
      </c>
      <c r="N50" s="315">
        <f t="shared" si="7"/>
        <v>0</v>
      </c>
      <c r="O50" s="316">
        <f t="shared" si="7"/>
        <v>7650000</v>
      </c>
    </row>
    <row r="51" spans="1:15" s="300" customFormat="1" ht="18" customHeight="1" x14ac:dyDescent="0.35">
      <c r="A51" s="317"/>
      <c r="B51" s="326"/>
      <c r="C51" s="319"/>
      <c r="D51" s="319"/>
      <c r="E51" s="319"/>
      <c r="F51" s="319"/>
      <c r="G51" s="319"/>
      <c r="H51" s="319"/>
      <c r="I51" s="319"/>
      <c r="J51" s="319"/>
      <c r="K51" s="319"/>
      <c r="L51" s="319"/>
      <c r="M51" s="319"/>
      <c r="N51" s="319"/>
      <c r="O51" s="320"/>
    </row>
    <row r="52" spans="1:15" s="300" customFormat="1" ht="18" customHeight="1" x14ac:dyDescent="0.35">
      <c r="A52" s="333" t="s">
        <v>273</v>
      </c>
      <c r="B52" s="334"/>
      <c r="C52" s="335">
        <f t="shared" ref="C52:O52" si="8">+C16+C27+C32+C39+C50</f>
        <v>0</v>
      </c>
      <c r="D52" s="335">
        <f t="shared" si="8"/>
        <v>1793000</v>
      </c>
      <c r="E52" s="335">
        <f t="shared" si="8"/>
        <v>240000</v>
      </c>
      <c r="F52" s="335">
        <f t="shared" si="8"/>
        <v>6619000</v>
      </c>
      <c r="G52" s="335">
        <f t="shared" si="8"/>
        <v>610000</v>
      </c>
      <c r="H52" s="335">
        <f t="shared" si="8"/>
        <v>180000</v>
      </c>
      <c r="I52" s="335">
        <f t="shared" si="8"/>
        <v>619000</v>
      </c>
      <c r="J52" s="335">
        <f t="shared" si="8"/>
        <v>938000</v>
      </c>
      <c r="K52" s="335">
        <f t="shared" si="8"/>
        <v>0</v>
      </c>
      <c r="L52" s="335">
        <f t="shared" si="8"/>
        <v>319000</v>
      </c>
      <c r="M52" s="335">
        <f t="shared" si="8"/>
        <v>0</v>
      </c>
      <c r="N52" s="335">
        <f t="shared" si="8"/>
        <v>0</v>
      </c>
      <c r="O52" s="335">
        <f t="shared" si="8"/>
        <v>11318000</v>
      </c>
    </row>
    <row r="53" spans="1:15" x14ac:dyDescent="0.45">
      <c r="A53" s="336" t="s">
        <v>274</v>
      </c>
    </row>
    <row r="54" spans="1:15" x14ac:dyDescent="0.45">
      <c r="A54" s="336">
        <v>1</v>
      </c>
      <c r="B54" s="337" t="s">
        <v>275</v>
      </c>
    </row>
    <row r="55" spans="1:15" x14ac:dyDescent="0.45">
      <c r="A55" s="336">
        <v>2</v>
      </c>
      <c r="B55" s="337" t="s">
        <v>276</v>
      </c>
    </row>
    <row r="56" spans="1:15" x14ac:dyDescent="0.45">
      <c r="A56" s="336"/>
    </row>
    <row r="57" spans="1:15" x14ac:dyDescent="0.45">
      <c r="A57" s="338"/>
    </row>
  </sheetData>
  <mergeCells count="2">
    <mergeCell ref="A1:O1"/>
    <mergeCell ref="A2:O2"/>
  </mergeCells>
  <printOptions horizontalCentered="1"/>
  <pageMargins left="0.12" right="0.59" top="0.33" bottom="0.75" header="0.3" footer="0.3"/>
  <pageSetup paperSize="9" scale="4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Cash flow2013</vt:lpstr>
      <vt:lpstr>MEIL 2012 Budget (Orig)</vt:lpstr>
      <vt:lpstr>PR Company</vt:lpstr>
      <vt:lpstr>Consolidated Budget 2012</vt:lpstr>
      <vt:lpstr>PR </vt:lpstr>
      <vt:lpstr>Group (Classes)</vt:lpstr>
      <vt:lpstr>Sheet1</vt:lpstr>
      <vt:lpstr>Cash Flow Chase Bank</vt:lpstr>
      <vt:lpstr>CapEx Safaricom Preq</vt:lpstr>
      <vt:lpstr>Debtors and Creditors Movement</vt:lpstr>
      <vt:lpstr>CapEx Chase Bank</vt:lpstr>
      <vt:lpstr>Cash flow</vt:lpstr>
      <vt:lpstr>BE Analysis</vt:lpstr>
      <vt:lpstr>MEIL 2012 Budget -New initiativ</vt:lpstr>
      <vt:lpstr>OCK 2012 Budget</vt:lpstr>
      <vt:lpstr>TEMPLATE</vt:lpstr>
      <vt:lpstr>'BE Analysis'!Print_Area</vt:lpstr>
      <vt:lpstr>'CapEx Chase Bank'!Print_Area</vt:lpstr>
      <vt:lpstr>'CapEx Safaricom Preq'!Print_Area</vt:lpstr>
      <vt:lpstr>'Cash flow'!Print_Area</vt:lpstr>
      <vt:lpstr>'Cash Flow Chase Bank'!Print_Area</vt:lpstr>
      <vt:lpstr>'Cash flow2013'!Print_Area</vt:lpstr>
      <vt:lpstr>'Consolidated Budget 2012'!Print_Area</vt:lpstr>
      <vt:lpstr>'Debtors and Creditors Movement'!Print_Area</vt:lpstr>
      <vt:lpstr>'MEIL 2012 Budget (Orig)'!Print_Area</vt:lpstr>
      <vt:lpstr>'MEIL 2012 Budget -New initiativ'!Print_Area</vt:lpstr>
      <vt:lpstr>'OCK 2012 Budget'!Print_Area</vt:lpstr>
      <vt:lpstr>'PR '!Print_Area</vt:lpstr>
      <vt:lpstr>'PR Company'!Print_Area</vt:lpstr>
      <vt:lpstr>'OCK 2012 Budget'!Print_Titles</vt:lpstr>
      <vt:lpstr>'PR '!Print_Titles</vt:lpstr>
      <vt:lpstr>'PR Company'!Print_Titles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 Pc</dc:creator>
  <cp:lastModifiedBy>Eric Maina</cp:lastModifiedBy>
  <cp:lastPrinted>2025-07-30T17:48:51Z</cp:lastPrinted>
  <dcterms:created xsi:type="dcterms:W3CDTF">2010-09-23T08:34:40Z</dcterms:created>
  <dcterms:modified xsi:type="dcterms:W3CDTF">2025-08-02T19:12:10Z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f340ce9e5b3249b29ef2bc806a12eb94</vt:lpwstr>
  </property>
</Properties>
</file>